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ämäTyökirja"/>
  <mc:AlternateContent xmlns:mc="http://schemas.openxmlformats.org/markup-compatibility/2006">
    <mc:Choice Requires="x15">
      <x15ac:absPath xmlns:x15ac="http://schemas.microsoft.com/office/spreadsheetml/2010/11/ac" url="C:\Users\seppo\Dropbox\omat\"/>
    </mc:Choice>
  </mc:AlternateContent>
  <xr:revisionPtr revIDLastSave="0" documentId="13_ncr:1_{1C65D9FB-BD53-4C7A-BF81-C83542E9C2FE}" xr6:coauthVersionLast="47" xr6:coauthVersionMax="47" xr10:uidLastSave="{00000000-0000-0000-0000-000000000000}"/>
  <bookViews>
    <workbookView xWindow="23880" yWindow="-120" windowWidth="29040" windowHeight="15720" tabRatio="954" xr2:uid="{CD73F54C-8635-4C59-853E-B40CDCE4A0E2}"/>
  </bookViews>
  <sheets>
    <sheet name="Menu" sheetId="22" r:id="rId1"/>
    <sheet name="Admicom" sheetId="26" r:id="rId2"/>
    <sheet name="Alphabet" sheetId="13" r:id="rId3"/>
    <sheet name="Amazon" sheetId="15" r:id="rId4"/>
    <sheet name="Apple" sheetId="12" r:id="rId5"/>
    <sheet name="AssaAbloy" sheetId="20" r:id="rId6"/>
    <sheet name="AtlasCopco" sheetId="17" r:id="rId7"/>
    <sheet name="Booking" sheetId="33" r:id="rId8"/>
    <sheet name="Capman" sheetId="24" r:id="rId9"/>
    <sheet name="Digia" sheetId="38" r:id="rId10"/>
    <sheet name="Epiroc" sheetId="19" r:id="rId11"/>
    <sheet name="Etteplan" sheetId="2" r:id="rId12"/>
    <sheet name="Fiskars" sheetId="28" r:id="rId13"/>
    <sheet name="Kamux" sheetId="11" r:id="rId14"/>
    <sheet name="Kemira" sheetId="27" r:id="rId15"/>
    <sheet name="Kempower" sheetId="23" r:id="rId16"/>
    <sheet name="Kesko" sheetId="9" r:id="rId17"/>
    <sheet name="Kone" sheetId="29" r:id="rId18"/>
    <sheet name="Konecranes" sheetId="30" r:id="rId19"/>
    <sheet name="Koskisen" sheetId="34" r:id="rId20"/>
    <sheet name="Lapwall" sheetId="1" r:id="rId21"/>
    <sheet name="Lassila" sheetId="39" r:id="rId22"/>
    <sheet name="Marimekko" sheetId="10" r:id="rId23"/>
    <sheet name="Meta" sheetId="21" r:id="rId24"/>
    <sheet name="Microsoft" sheetId="16" r:id="rId25"/>
    <sheet name="Nokia" sheetId="35" r:id="rId26"/>
    <sheet name="Nokian_Tyres" sheetId="41" r:id="rId27"/>
    <sheet name="Nvidia" sheetId="14" r:id="rId28"/>
    <sheet name="Orion" sheetId="3" r:id="rId29"/>
    <sheet name="Puuilo" sheetId="25" r:id="rId30"/>
    <sheet name="Qt (2)" sheetId="44" state="hidden" r:id="rId31"/>
    <sheet name="Qt" sheetId="43" r:id="rId32"/>
    <sheet name="Raute" sheetId="6" r:id="rId33"/>
    <sheet name="Revenio" sheetId="36" r:id="rId34"/>
    <sheet name="Scanfil" sheetId="37" r:id="rId35"/>
    <sheet name="Siili" sheetId="8" r:id="rId36"/>
    <sheet name="Talenom" sheetId="42" r:id="rId37"/>
    <sheet name="Tecnotree" sheetId="4" r:id="rId38"/>
    <sheet name="Titanium" sheetId="32" r:id="rId39"/>
    <sheet name="Tokmanni" sheetId="5" r:id="rId40"/>
    <sheet name="UPM" sheetId="40" r:id="rId41"/>
    <sheet name="Valmet" sheetId="31" r:id="rId42"/>
    <sheet name="Volvo" sheetId="18" r:id="rId43"/>
    <sheet name="Kaikki" sheetId="7" state="hidden" r:id="rId4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3" l="1"/>
  <c r="I31" i="22" l="1"/>
  <c r="J31" i="22"/>
  <c r="K31" i="22"/>
  <c r="L31" i="22"/>
  <c r="M31" i="22"/>
  <c r="N31" i="22"/>
  <c r="O31" i="22"/>
  <c r="D5" i="14"/>
  <c r="F5" i="14" s="1"/>
  <c r="B5" i="14"/>
  <c r="D4" i="14"/>
  <c r="F4" i="14" s="1"/>
  <c r="C31" i="22" a="1"/>
  <c r="R31" i="22" a="1"/>
  <c r="R31" i="22" l="1"/>
  <c r="C31" i="22"/>
  <c r="I44" i="22" l="1"/>
  <c r="J44" i="22"/>
  <c r="K44" i="22"/>
  <c r="L44" i="22"/>
  <c r="M44" i="22"/>
  <c r="N44" i="22"/>
  <c r="O44" i="22"/>
  <c r="C44" i="22" a="1"/>
  <c r="R44" i="22" a="1"/>
  <c r="C44" i="22" l="1"/>
  <c r="R44" i="22"/>
  <c r="C5" i="25" l="1"/>
  <c r="C4" i="25"/>
  <c r="D6" i="44"/>
  <c r="B6" i="44"/>
  <c r="G5" i="44"/>
  <c r="F5" i="44"/>
  <c r="E5" i="44" s="1"/>
  <c r="C5" i="44"/>
  <c r="G4" i="44"/>
  <c r="F4" i="44"/>
  <c r="E4" i="44" s="1"/>
  <c r="C4" i="44"/>
  <c r="C5" i="36"/>
  <c r="F4" i="36"/>
  <c r="F6" i="32"/>
  <c r="C5" i="32"/>
  <c r="C4" i="32"/>
  <c r="C5" i="34"/>
  <c r="C4" i="34"/>
  <c r="C5" i="5"/>
  <c r="C4" i="5"/>
  <c r="F4" i="11"/>
  <c r="F5" i="24"/>
  <c r="F4" i="24"/>
  <c r="B5" i="24"/>
  <c r="C5" i="24" s="1"/>
  <c r="B4" i="24"/>
  <c r="C4" i="24" s="1"/>
  <c r="I4" i="44" l="1"/>
  <c r="I5" i="44"/>
  <c r="F6" i="44"/>
  <c r="C6" i="44"/>
  <c r="E6" i="44"/>
  <c r="H5" i="44"/>
  <c r="H4" i="44"/>
  <c r="G5" i="17"/>
  <c r="G5" i="38"/>
  <c r="G5" i="27"/>
  <c r="G5" i="9"/>
  <c r="G5" i="30"/>
  <c r="G5" i="1"/>
  <c r="G5" i="39"/>
  <c r="G5" i="35"/>
  <c r="G5" i="41"/>
  <c r="G5" i="3"/>
  <c r="G5" i="43"/>
  <c r="G5" i="6"/>
  <c r="G5" i="42"/>
  <c r="G5" i="4"/>
  <c r="G5" i="32"/>
  <c r="G5" i="40"/>
  <c r="G4" i="38"/>
  <c r="G4" i="30"/>
  <c r="G4" i="1"/>
  <c r="G4" i="39"/>
  <c r="G4" i="35"/>
  <c r="G4" i="41"/>
  <c r="G4" i="3"/>
  <c r="G4" i="43"/>
  <c r="G4" i="6"/>
  <c r="G4" i="42"/>
  <c r="G4" i="4"/>
  <c r="G4" i="32"/>
  <c r="G4" i="40"/>
  <c r="F4" i="10"/>
  <c r="D5" i="12" l="1"/>
  <c r="D4" i="12"/>
  <c r="F5" i="15"/>
  <c r="F4" i="15"/>
  <c r="I13" i="22" l="1"/>
  <c r="J13" i="22"/>
  <c r="K13" i="22"/>
  <c r="L13" i="22"/>
  <c r="M13" i="22"/>
  <c r="N13" i="22"/>
  <c r="O13" i="22"/>
  <c r="I46" i="22"/>
  <c r="J46" i="22"/>
  <c r="K46" i="22"/>
  <c r="L46" i="22"/>
  <c r="M46" i="22"/>
  <c r="N46" i="22"/>
  <c r="O46" i="22"/>
  <c r="E4" i="43"/>
  <c r="E5" i="43"/>
  <c r="C5" i="43"/>
  <c r="C4" i="43"/>
  <c r="D6" i="43"/>
  <c r="B6" i="43"/>
  <c r="C5" i="42"/>
  <c r="C4" i="42"/>
  <c r="D6" i="42"/>
  <c r="B6" i="42"/>
  <c r="F6" i="42"/>
  <c r="E5" i="42"/>
  <c r="E4" i="42"/>
  <c r="C5" i="6"/>
  <c r="D4" i="16"/>
  <c r="C13" i="22" a="1"/>
  <c r="D13" i="22" a="1"/>
  <c r="F46" i="22" a="1"/>
  <c r="Q46" i="22" a="1"/>
  <c r="P46" i="22" a="1"/>
  <c r="P13" i="22" a="1"/>
  <c r="D46" i="22" a="1"/>
  <c r="C46" i="22" a="1"/>
  <c r="I4" i="42" l="1"/>
  <c r="H4" i="42"/>
  <c r="H5" i="43"/>
  <c r="I5" i="43"/>
  <c r="H5" i="42"/>
  <c r="I5" i="42"/>
  <c r="H4" i="43"/>
  <c r="I4" i="43"/>
  <c r="P13" i="22"/>
  <c r="C13" i="22"/>
  <c r="D13" i="22"/>
  <c r="D46" i="22"/>
  <c r="C46" i="22"/>
  <c r="F46" i="22"/>
  <c r="Q46" i="22"/>
  <c r="P46" i="22"/>
  <c r="C6" i="43"/>
  <c r="E6" i="43"/>
  <c r="C6" i="42"/>
  <c r="E6" i="42"/>
  <c r="E46" i="22" a="1"/>
  <c r="Q13" i="22" a="1"/>
  <c r="F13" i="22" a="1"/>
  <c r="E13" i="22" a="1"/>
  <c r="F13" i="22" l="1"/>
  <c r="E46" i="22"/>
  <c r="Q13" i="22"/>
  <c r="E13" i="22"/>
  <c r="R13" i="22" a="1"/>
  <c r="R46" i="22" a="1"/>
  <c r="R46" i="22" l="1"/>
  <c r="R13" i="22"/>
  <c r="F6" i="31"/>
  <c r="B5" i="31"/>
  <c r="B4" i="31"/>
  <c r="G4" i="31" s="1"/>
  <c r="C5" i="31" l="1"/>
  <c r="G5" i="31"/>
  <c r="F5" i="23"/>
  <c r="I8" i="22" l="1"/>
  <c r="J8" i="22"/>
  <c r="K8" i="22"/>
  <c r="L8" i="22"/>
  <c r="M8" i="22"/>
  <c r="N8" i="22"/>
  <c r="O8" i="22"/>
  <c r="F5" i="41"/>
  <c r="E5" i="41" s="1"/>
  <c r="F4" i="41"/>
  <c r="E4" i="41" s="1"/>
  <c r="C5" i="41"/>
  <c r="C4" i="41"/>
  <c r="D6" i="41"/>
  <c r="B6" i="41"/>
  <c r="D8" i="22" a="1"/>
  <c r="C8" i="22" a="1"/>
  <c r="H5" i="41" l="1"/>
  <c r="I5" i="41"/>
  <c r="H4" i="41"/>
  <c r="I4" i="41"/>
  <c r="C8" i="22"/>
  <c r="D8" i="22"/>
  <c r="F6" i="41"/>
  <c r="C6" i="41"/>
  <c r="E6" i="41"/>
  <c r="E8" i="22" a="1"/>
  <c r="P8" i="22" a="1"/>
  <c r="F8" i="22" a="1"/>
  <c r="Q8" i="22" a="1"/>
  <c r="F8" i="22" l="1"/>
  <c r="E8" i="22"/>
  <c r="Q8" i="22"/>
  <c r="P8" i="22"/>
  <c r="R8" i="22" a="1"/>
  <c r="R8" i="22" l="1"/>
  <c r="C5" i="3"/>
  <c r="C4" i="3"/>
  <c r="I37" i="22"/>
  <c r="J37" i="22"/>
  <c r="K37" i="22"/>
  <c r="L37" i="22"/>
  <c r="M37" i="22"/>
  <c r="N37" i="22"/>
  <c r="O37" i="22"/>
  <c r="F5" i="40"/>
  <c r="F6" i="40" s="1"/>
  <c r="C5" i="40"/>
  <c r="C4" i="40"/>
  <c r="D6" i="40"/>
  <c r="B6" i="40"/>
  <c r="E4" i="40"/>
  <c r="F5" i="4"/>
  <c r="F4" i="4"/>
  <c r="C5" i="4"/>
  <c r="F5" i="38"/>
  <c r="D37" i="22" a="1"/>
  <c r="F37" i="22" a="1"/>
  <c r="C37" i="22" a="1"/>
  <c r="H4" i="40" l="1"/>
  <c r="I4" i="40"/>
  <c r="H5" i="40"/>
  <c r="I5" i="40"/>
  <c r="C37" i="22"/>
  <c r="F37" i="22"/>
  <c r="D37" i="22"/>
  <c r="C6" i="40"/>
  <c r="E6" i="40"/>
  <c r="C5" i="27"/>
  <c r="I26" i="22"/>
  <c r="J26" i="22"/>
  <c r="K26" i="22"/>
  <c r="L26" i="22"/>
  <c r="M26" i="22"/>
  <c r="N26" i="22"/>
  <c r="O26" i="22"/>
  <c r="C5" i="39"/>
  <c r="C4" i="39"/>
  <c r="F5" i="39"/>
  <c r="D6" i="39"/>
  <c r="B6" i="39"/>
  <c r="E4" i="39"/>
  <c r="F4" i="38"/>
  <c r="E4" i="38" s="1"/>
  <c r="F4" i="28"/>
  <c r="C5" i="8"/>
  <c r="C4" i="8"/>
  <c r="B5" i="29"/>
  <c r="G5" i="29" s="1"/>
  <c r="B4" i="29"/>
  <c r="G4" i="29" s="1"/>
  <c r="B4" i="9"/>
  <c r="G4" i="9" s="1"/>
  <c r="C4" i="23"/>
  <c r="B5" i="23"/>
  <c r="G5" i="23" s="1"/>
  <c r="B4" i="23"/>
  <c r="G4" i="23" s="1"/>
  <c r="B4" i="27"/>
  <c r="G5" i="11"/>
  <c r="B5" i="28"/>
  <c r="G5" i="28" s="1"/>
  <c r="B4" i="28"/>
  <c r="G4" i="28" s="1"/>
  <c r="B5" i="2"/>
  <c r="B4" i="2"/>
  <c r="G5" i="24"/>
  <c r="G4" i="24"/>
  <c r="B5" i="19"/>
  <c r="G5" i="19" s="1"/>
  <c r="B4" i="19"/>
  <c r="G4" i="19" s="1"/>
  <c r="B4" i="17"/>
  <c r="G4" i="17" s="1"/>
  <c r="B5" i="20"/>
  <c r="G5" i="20" s="1"/>
  <c r="B4" i="20"/>
  <c r="G4" i="20" s="1"/>
  <c r="B5" i="21"/>
  <c r="B4" i="21"/>
  <c r="B4" i="14"/>
  <c r="B5" i="15"/>
  <c r="G5" i="15" s="1"/>
  <c r="B4" i="15"/>
  <c r="G4" i="15" s="1"/>
  <c r="B5" i="13"/>
  <c r="G5" i="13" s="1"/>
  <c r="B4" i="13"/>
  <c r="G4" i="13" s="1"/>
  <c r="B5" i="16"/>
  <c r="G5" i="16" s="1"/>
  <c r="B4" i="16"/>
  <c r="G4" i="16" s="1"/>
  <c r="B5" i="12"/>
  <c r="G5" i="12" s="1"/>
  <c r="B4" i="12"/>
  <c r="G4" i="12" s="1"/>
  <c r="D5" i="18"/>
  <c r="D4" i="18"/>
  <c r="B5" i="18"/>
  <c r="B4" i="18"/>
  <c r="B4" i="11"/>
  <c r="G4" i="11" s="1"/>
  <c r="F4" i="26"/>
  <c r="B5" i="26"/>
  <c r="G5" i="26" s="1"/>
  <c r="B4" i="26"/>
  <c r="G4" i="26" s="1"/>
  <c r="F4" i="30"/>
  <c r="I41" i="22"/>
  <c r="J41" i="22"/>
  <c r="K41" i="22"/>
  <c r="L41" i="22"/>
  <c r="M41" i="22"/>
  <c r="N41" i="22"/>
  <c r="O41" i="22"/>
  <c r="P37" i="22" a="1"/>
  <c r="Q37" i="22" a="1"/>
  <c r="P26" i="22" a="1"/>
  <c r="E37" i="22" a="1"/>
  <c r="C26" i="22" a="1"/>
  <c r="D26" i="22" a="1"/>
  <c r="C41" i="22" a="1"/>
  <c r="I4" i="38" l="1"/>
  <c r="H4" i="38"/>
  <c r="C4" i="2"/>
  <c r="G4" i="2"/>
  <c r="I4" i="39"/>
  <c r="H4" i="39"/>
  <c r="C5" i="2"/>
  <c r="G5" i="2"/>
  <c r="F4" i="18"/>
  <c r="G4" i="18"/>
  <c r="F5" i="18"/>
  <c r="G5" i="18"/>
  <c r="C4" i="27"/>
  <c r="G4" i="27"/>
  <c r="E37" i="22"/>
  <c r="Q37" i="22"/>
  <c r="P37" i="22"/>
  <c r="C26" i="22"/>
  <c r="D26" i="22"/>
  <c r="P26" i="22"/>
  <c r="C6" i="39"/>
  <c r="F6" i="39"/>
  <c r="E5" i="39"/>
  <c r="C41" i="22"/>
  <c r="E5" i="38"/>
  <c r="D6" i="38"/>
  <c r="C6" i="38"/>
  <c r="B6" i="38"/>
  <c r="F6" i="38"/>
  <c r="R37" i="22" a="1"/>
  <c r="F41" i="22" a="1"/>
  <c r="D41" i="22" a="1"/>
  <c r="F26" i="22" a="1"/>
  <c r="P41" i="22" a="1"/>
  <c r="E6" i="38" l="1"/>
  <c r="H5" i="38"/>
  <c r="I5" i="38"/>
  <c r="H5" i="39"/>
  <c r="I5" i="39"/>
  <c r="R37" i="22"/>
  <c r="F26" i="22"/>
  <c r="E6" i="39"/>
  <c r="P41" i="22"/>
  <c r="F41" i="22"/>
  <c r="D41" i="22"/>
  <c r="E41" i="22" a="1"/>
  <c r="E26" i="22" a="1"/>
  <c r="R41" i="22" a="1"/>
  <c r="Q26" i="22" a="1"/>
  <c r="Q41" i="22" a="1"/>
  <c r="E41" i="22" l="1"/>
  <c r="E26" i="22"/>
  <c r="Q26" i="22"/>
  <c r="Q41" i="22"/>
  <c r="R41" i="22"/>
  <c r="O36" i="22"/>
  <c r="O20" i="22"/>
  <c r="O9" i="22"/>
  <c r="O43" i="22"/>
  <c r="O5" i="22"/>
  <c r="O35" i="22"/>
  <c r="O18" i="22"/>
  <c r="O27" i="22"/>
  <c r="O38" i="22"/>
  <c r="O7" i="22"/>
  <c r="O4" i="22"/>
  <c r="O21" i="22"/>
  <c r="O19" i="22"/>
  <c r="O22" i="22"/>
  <c r="O34" i="22"/>
  <c r="O10" i="22"/>
  <c r="O33" i="22"/>
  <c r="O28" i="22"/>
  <c r="O17" i="22"/>
  <c r="O42" i="22"/>
  <c r="O14" i="22"/>
  <c r="O11" i="22"/>
  <c r="O12" i="22"/>
  <c r="O29" i="22"/>
  <c r="O40" i="22"/>
  <c r="O23" i="22"/>
  <c r="O32" i="22"/>
  <c r="O25" i="22"/>
  <c r="O15" i="22"/>
  <c r="O30" i="22"/>
  <c r="O16" i="22"/>
  <c r="O24" i="22"/>
  <c r="O39" i="22"/>
  <c r="O45" i="22"/>
  <c r="O6" i="22"/>
  <c r="N36" i="22"/>
  <c r="N20" i="22"/>
  <c r="N9" i="22"/>
  <c r="N43" i="22"/>
  <c r="N5" i="22"/>
  <c r="N35" i="22"/>
  <c r="N18" i="22"/>
  <c r="N27" i="22"/>
  <c r="N38" i="22"/>
  <c r="N7" i="22"/>
  <c r="N4" i="22"/>
  <c r="N21" i="22"/>
  <c r="N19" i="22"/>
  <c r="N22" i="22"/>
  <c r="N34" i="22"/>
  <c r="N10" i="22"/>
  <c r="N33" i="22"/>
  <c r="N28" i="22"/>
  <c r="N17" i="22"/>
  <c r="N42" i="22"/>
  <c r="N14" i="22"/>
  <c r="N11" i="22"/>
  <c r="N12" i="22"/>
  <c r="N29" i="22"/>
  <c r="N40" i="22"/>
  <c r="N23" i="22"/>
  <c r="N32" i="22"/>
  <c r="N25" i="22"/>
  <c r="N15" i="22"/>
  <c r="N30" i="22"/>
  <c r="N16" i="22"/>
  <c r="N24" i="22"/>
  <c r="N39" i="22"/>
  <c r="N45" i="22"/>
  <c r="N6" i="22"/>
  <c r="M36" i="22"/>
  <c r="M20" i="22"/>
  <c r="M9" i="22"/>
  <c r="M43" i="22"/>
  <c r="M5" i="22"/>
  <c r="M35" i="22"/>
  <c r="M18" i="22"/>
  <c r="M27" i="22"/>
  <c r="M38" i="22"/>
  <c r="M7" i="22"/>
  <c r="M4" i="22"/>
  <c r="M21" i="22"/>
  <c r="M19" i="22"/>
  <c r="M22" i="22"/>
  <c r="M34" i="22"/>
  <c r="M10" i="22"/>
  <c r="M33" i="22"/>
  <c r="M28" i="22"/>
  <c r="M17" i="22"/>
  <c r="M42" i="22"/>
  <c r="M14" i="22"/>
  <c r="M11" i="22"/>
  <c r="M12" i="22"/>
  <c r="M29" i="22"/>
  <c r="M40" i="22"/>
  <c r="M23" i="22"/>
  <c r="M32" i="22"/>
  <c r="M25" i="22"/>
  <c r="M15" i="22"/>
  <c r="M30" i="22"/>
  <c r="M16" i="22"/>
  <c r="M24" i="22"/>
  <c r="M39" i="22"/>
  <c r="M45" i="22"/>
  <c r="M6" i="22"/>
  <c r="L14" i="22"/>
  <c r="L4" i="22"/>
  <c r="L19" i="22"/>
  <c r="L5" i="22"/>
  <c r="L20" i="22"/>
  <c r="L42" i="22"/>
  <c r="L6" i="22"/>
  <c r="L21" i="22"/>
  <c r="L22" i="22"/>
  <c r="L23" i="22"/>
  <c r="L24" i="22"/>
  <c r="L25" i="22"/>
  <c r="L27" i="22"/>
  <c r="L7" i="22"/>
  <c r="L43" i="22"/>
  <c r="L32" i="22"/>
  <c r="L45" i="22"/>
  <c r="L33" i="22"/>
  <c r="L34" i="22"/>
  <c r="L35" i="22"/>
  <c r="L9" i="22"/>
  <c r="L40" i="22"/>
  <c r="L36" i="22"/>
  <c r="L38" i="22"/>
  <c r="L17" i="22"/>
  <c r="L11" i="22"/>
  <c r="L12" i="22"/>
  <c r="L39" i="22"/>
  <c r="L15" i="22"/>
  <c r="L16" i="22"/>
  <c r="L10" i="22"/>
  <c r="L18" i="22"/>
  <c r="L28" i="22"/>
  <c r="L29" i="22"/>
  <c r="L30" i="22"/>
  <c r="I15" i="22"/>
  <c r="I16" i="22"/>
  <c r="I10" i="22"/>
  <c r="I18" i="22"/>
  <c r="I28" i="22"/>
  <c r="I29" i="22"/>
  <c r="I30" i="22"/>
  <c r="J15" i="22"/>
  <c r="J16" i="22"/>
  <c r="J10" i="22"/>
  <c r="J18" i="22"/>
  <c r="J28" i="22"/>
  <c r="J29" i="22"/>
  <c r="J30" i="22"/>
  <c r="K15" i="22"/>
  <c r="K16" i="22"/>
  <c r="K10" i="22"/>
  <c r="K18" i="22"/>
  <c r="K28" i="22"/>
  <c r="K29" i="22"/>
  <c r="K30" i="22"/>
  <c r="I17" i="22"/>
  <c r="I11" i="22"/>
  <c r="I12" i="22"/>
  <c r="I39" i="22"/>
  <c r="J17" i="22"/>
  <c r="J11" i="22"/>
  <c r="J12" i="22"/>
  <c r="J39" i="22"/>
  <c r="K17" i="22"/>
  <c r="K11" i="22"/>
  <c r="K12" i="22"/>
  <c r="K39" i="22"/>
  <c r="I14" i="22"/>
  <c r="I4" i="22"/>
  <c r="I19" i="22"/>
  <c r="I5" i="22"/>
  <c r="I20" i="22"/>
  <c r="I42" i="22"/>
  <c r="I6" i="22"/>
  <c r="I21" i="22"/>
  <c r="I22" i="22"/>
  <c r="I23" i="22"/>
  <c r="I24" i="22"/>
  <c r="I25" i="22"/>
  <c r="I27" i="22"/>
  <c r="I7" i="22"/>
  <c r="I43" i="22"/>
  <c r="I32" i="22"/>
  <c r="I45" i="22"/>
  <c r="I33" i="22"/>
  <c r="I34" i="22"/>
  <c r="I35" i="22"/>
  <c r="I9" i="22"/>
  <c r="I40" i="22"/>
  <c r="I36" i="22"/>
  <c r="I38" i="22"/>
  <c r="J14" i="22"/>
  <c r="J4" i="22"/>
  <c r="J19" i="22"/>
  <c r="J5" i="22"/>
  <c r="J20" i="22"/>
  <c r="J42" i="22"/>
  <c r="J6" i="22"/>
  <c r="J21" i="22"/>
  <c r="J22" i="22"/>
  <c r="J23" i="22"/>
  <c r="J24" i="22"/>
  <c r="J25" i="22"/>
  <c r="J27" i="22"/>
  <c r="J7" i="22"/>
  <c r="J43" i="22"/>
  <c r="J32" i="22"/>
  <c r="J45" i="22"/>
  <c r="J33" i="22"/>
  <c r="J34" i="22"/>
  <c r="J35" i="22"/>
  <c r="J9" i="22"/>
  <c r="J40" i="22"/>
  <c r="J36" i="22"/>
  <c r="J38" i="22"/>
  <c r="K14" i="22"/>
  <c r="K4" i="22"/>
  <c r="K19" i="22"/>
  <c r="K5" i="22"/>
  <c r="K20" i="22"/>
  <c r="K42" i="22"/>
  <c r="K6" i="22"/>
  <c r="K21" i="22"/>
  <c r="K22" i="22"/>
  <c r="K23" i="22"/>
  <c r="K24" i="22"/>
  <c r="K25" i="22"/>
  <c r="K27" i="22"/>
  <c r="K7" i="22"/>
  <c r="K43" i="22"/>
  <c r="K32" i="22"/>
  <c r="K45" i="22"/>
  <c r="K33" i="22"/>
  <c r="K34" i="22"/>
  <c r="K35" i="22"/>
  <c r="K9" i="22"/>
  <c r="K40" i="22"/>
  <c r="K36" i="22"/>
  <c r="K38" i="22"/>
  <c r="E5" i="37"/>
  <c r="B5" i="37"/>
  <c r="G5" i="37" s="1"/>
  <c r="B4" i="37"/>
  <c r="G4" i="37" s="1"/>
  <c r="F6" i="37"/>
  <c r="F24" i="22" a="1"/>
  <c r="C29" i="22" a="1"/>
  <c r="C12" i="22" a="1"/>
  <c r="C10" i="22" a="1"/>
  <c r="F38" i="22" a="1"/>
  <c r="C17" i="22" a="1"/>
  <c r="C16" i="22" a="1"/>
  <c r="C15" i="22" a="1"/>
  <c r="F23" i="22" a="1"/>
  <c r="R26" i="22" a="1"/>
  <c r="C18" i="22" a="1"/>
  <c r="F14" i="22" a="1"/>
  <c r="F40" i="22" a="1"/>
  <c r="F34" i="22" a="1"/>
  <c r="C34" i="22" a="1"/>
  <c r="C39" i="22" a="1"/>
  <c r="F33" i="22" a="1"/>
  <c r="C28" i="22" a="1"/>
  <c r="F22" i="22" a="1"/>
  <c r="C30" i="22" a="1"/>
  <c r="C11" i="22" a="1"/>
  <c r="C34" i="22" l="1"/>
  <c r="H5" i="37"/>
  <c r="I5" i="37"/>
  <c r="R26" i="22"/>
  <c r="F24" i="22"/>
  <c r="F14" i="22"/>
  <c r="F33" i="22"/>
  <c r="F40" i="22"/>
  <c r="F38" i="22"/>
  <c r="F34" i="22"/>
  <c r="F23" i="22"/>
  <c r="F22" i="22"/>
  <c r="C15" i="22"/>
  <c r="C10" i="22"/>
  <c r="C16" i="22"/>
  <c r="C30" i="22"/>
  <c r="C29" i="22"/>
  <c r="C28" i="22"/>
  <c r="C18" i="22"/>
  <c r="C11" i="22"/>
  <c r="C17" i="22"/>
  <c r="C39" i="22"/>
  <c r="C12" i="22"/>
  <c r="D6" i="37"/>
  <c r="E4" i="37"/>
  <c r="C6" i="37"/>
  <c r="B6" i="37"/>
  <c r="Q34" i="22" a="1"/>
  <c r="D34" i="22" a="1"/>
  <c r="P34" i="22" a="1"/>
  <c r="G5" i="14" l="1"/>
  <c r="G4" i="14"/>
  <c r="H4" i="37"/>
  <c r="I4" i="37"/>
  <c r="D34" i="22"/>
  <c r="Q34" i="22"/>
  <c r="P34" i="22"/>
  <c r="E6" i="37"/>
  <c r="F5" i="36"/>
  <c r="D6" i="36"/>
  <c r="G5" i="36"/>
  <c r="G4" i="36"/>
  <c r="E34" i="22" a="1"/>
  <c r="P31" i="22" a="1"/>
  <c r="C33" i="22" a="1"/>
  <c r="D33" i="22" a="1"/>
  <c r="Q31" i="22" a="1"/>
  <c r="P31" i="22" l="1"/>
  <c r="Q31" i="22"/>
  <c r="D33" i="22"/>
  <c r="E34" i="22"/>
  <c r="C33" i="22"/>
  <c r="E4" i="36"/>
  <c r="E5" i="36"/>
  <c r="C6" i="36"/>
  <c r="B6" i="36"/>
  <c r="R34" i="22" a="1"/>
  <c r="I4" i="36" l="1"/>
  <c r="H4" i="36"/>
  <c r="H5" i="36"/>
  <c r="I5" i="36"/>
  <c r="R34" i="22"/>
  <c r="E6" i="36"/>
  <c r="Q33" i="22" a="1"/>
  <c r="P33" i="22" a="1"/>
  <c r="E33" i="22" a="1"/>
  <c r="E33" i="22" l="1"/>
  <c r="P33" i="22"/>
  <c r="Q33" i="22"/>
  <c r="B5" i="33"/>
  <c r="G5" i="33" s="1"/>
  <c r="B4" i="33"/>
  <c r="G4" i="33" s="1"/>
  <c r="G5" i="5"/>
  <c r="G4" i="5"/>
  <c r="B5" i="8"/>
  <c r="G5" i="8" s="1"/>
  <c r="B4" i="8"/>
  <c r="G4" i="8" s="1"/>
  <c r="B5" i="10"/>
  <c r="G5" i="10" s="1"/>
  <c r="B4" i="10"/>
  <c r="G4" i="10" s="1"/>
  <c r="G5" i="25"/>
  <c r="G4" i="25"/>
  <c r="F6" i="27"/>
  <c r="G4" i="34"/>
  <c r="B6" i="32"/>
  <c r="B6" i="1"/>
  <c r="E5" i="32"/>
  <c r="F4" i="34"/>
  <c r="F5" i="34" s="1"/>
  <c r="E4" i="33"/>
  <c r="C5" i="33"/>
  <c r="C4" i="33"/>
  <c r="D6" i="32"/>
  <c r="C6" i="32"/>
  <c r="E4" i="32"/>
  <c r="F4" i="29"/>
  <c r="F5" i="29" s="1"/>
  <c r="F5" i="28"/>
  <c r="F6" i="28" s="1"/>
  <c r="E4" i="27"/>
  <c r="C5" i="22" a="1"/>
  <c r="C40" i="22" a="1"/>
  <c r="Q40" i="22" a="1"/>
  <c r="C19" i="22" a="1"/>
  <c r="C42" i="22" a="1"/>
  <c r="C7" i="22" a="1"/>
  <c r="C23" i="22" a="1"/>
  <c r="C22" i="22" a="1"/>
  <c r="C25" i="22" a="1"/>
  <c r="F5" i="22" a="1"/>
  <c r="R33" i="22" a="1"/>
  <c r="C14" i="22" a="1"/>
  <c r="Q44" i="22" a="1"/>
  <c r="C9" i="22" a="1"/>
  <c r="C6" i="22" a="1"/>
  <c r="F42" i="22" a="1"/>
  <c r="C32" i="22" a="1"/>
  <c r="C27" i="22" a="1"/>
  <c r="C21" i="22" a="1"/>
  <c r="C45" i="22" a="1"/>
  <c r="D40" i="22" a="1"/>
  <c r="C20" i="22" a="1"/>
  <c r="C24" i="22" a="1"/>
  <c r="C36" i="22" a="1"/>
  <c r="C43" i="22" a="1"/>
  <c r="C38" i="22" a="1"/>
  <c r="P44" i="22" a="1"/>
  <c r="C35" i="22" a="1"/>
  <c r="C4" i="22" a="1"/>
  <c r="P44" i="22" l="1"/>
  <c r="Q44" i="22"/>
  <c r="H4" i="27"/>
  <c r="I4" i="27"/>
  <c r="I4" i="33"/>
  <c r="H4" i="33"/>
  <c r="D6" i="34"/>
  <c r="G5" i="34"/>
  <c r="I4" i="32"/>
  <c r="H4" i="32"/>
  <c r="H5" i="32"/>
  <c r="I5" i="32"/>
  <c r="D40" i="22"/>
  <c r="Q40" i="22"/>
  <c r="F42" i="22"/>
  <c r="F5" i="22"/>
  <c r="R33" i="22"/>
  <c r="B6" i="23"/>
  <c r="B6" i="29"/>
  <c r="E4" i="35"/>
  <c r="F6" i="35"/>
  <c r="B6" i="8"/>
  <c r="C7" i="22"/>
  <c r="E5" i="35"/>
  <c r="D6" i="35"/>
  <c r="C6" i="35"/>
  <c r="B6" i="35"/>
  <c r="B6" i="25"/>
  <c r="B6" i="11"/>
  <c r="C43" i="22"/>
  <c r="C38" i="22"/>
  <c r="C35" i="22"/>
  <c r="C14" i="22"/>
  <c r="C45" i="22"/>
  <c r="C21" i="22"/>
  <c r="C22" i="22"/>
  <c r="C32" i="22"/>
  <c r="C6" i="22"/>
  <c r="C42" i="22"/>
  <c r="C20" i="22"/>
  <c r="C5" i="22"/>
  <c r="C40" i="22"/>
  <c r="C24" i="22"/>
  <c r="C19" i="22"/>
  <c r="C27" i="22"/>
  <c r="C36" i="22"/>
  <c r="C25" i="22"/>
  <c r="C9" i="22"/>
  <c r="C23" i="22"/>
  <c r="C4" i="22"/>
  <c r="B6" i="33"/>
  <c r="B6" i="15"/>
  <c r="B6" i="16"/>
  <c r="B6" i="17"/>
  <c r="B6" i="19"/>
  <c r="B6" i="2"/>
  <c r="B6" i="5"/>
  <c r="B6" i="6"/>
  <c r="B6" i="10"/>
  <c r="B6" i="31"/>
  <c r="B6" i="12"/>
  <c r="B6" i="18"/>
  <c r="B6" i="4"/>
  <c r="B6" i="13"/>
  <c r="B6" i="27"/>
  <c r="B6" i="30"/>
  <c r="B6" i="26"/>
  <c r="B6" i="34"/>
  <c r="B6" i="14"/>
  <c r="B6" i="21"/>
  <c r="B6" i="20"/>
  <c r="D6" i="33"/>
  <c r="B6" i="3"/>
  <c r="B6" i="9"/>
  <c r="B6" i="24"/>
  <c r="B6" i="28"/>
  <c r="D6" i="30"/>
  <c r="F6" i="33"/>
  <c r="E5" i="34"/>
  <c r="H5" i="34" s="1"/>
  <c r="C6" i="34"/>
  <c r="E4" i="34"/>
  <c r="C6" i="33"/>
  <c r="E6" i="32"/>
  <c r="D6" i="31"/>
  <c r="E4" i="31"/>
  <c r="C6" i="31"/>
  <c r="E5" i="31"/>
  <c r="C6" i="30"/>
  <c r="E4" i="30"/>
  <c r="F5" i="30"/>
  <c r="E5" i="30" s="1"/>
  <c r="C6" i="29"/>
  <c r="E5" i="29"/>
  <c r="D6" i="29"/>
  <c r="E4" i="29"/>
  <c r="D6" i="28"/>
  <c r="E4" i="28"/>
  <c r="C6" i="28"/>
  <c r="E5" i="28"/>
  <c r="D6" i="27"/>
  <c r="C6" i="27"/>
  <c r="E5" i="27"/>
  <c r="F18" i="22" a="1"/>
  <c r="F7" i="22" a="1"/>
  <c r="P40" i="22" a="1"/>
  <c r="P42" i="22" a="1"/>
  <c r="D18" i="22" a="1"/>
  <c r="D5" i="22" a="1"/>
  <c r="P18" i="22" a="1"/>
  <c r="D23" i="22" a="1"/>
  <c r="D7" i="22" a="1"/>
  <c r="D42" i="22" a="1"/>
  <c r="D38" i="22" a="1"/>
  <c r="E40" i="22" a="1"/>
  <c r="D22" i="22" a="1"/>
  <c r="D24" i="22" a="1"/>
  <c r="I5" i="34" l="1"/>
  <c r="D24" i="22"/>
  <c r="H5" i="35"/>
  <c r="I5" i="35"/>
  <c r="H5" i="31"/>
  <c r="I5" i="31"/>
  <c r="H5" i="27"/>
  <c r="I5" i="27"/>
  <c r="H4" i="35"/>
  <c r="I4" i="35"/>
  <c r="H5" i="29"/>
  <c r="I5" i="29"/>
  <c r="I4" i="31"/>
  <c r="H4" i="31"/>
  <c r="I5" i="28"/>
  <c r="H5" i="28"/>
  <c r="H5" i="30"/>
  <c r="I5" i="30"/>
  <c r="H4" i="28"/>
  <c r="I4" i="28"/>
  <c r="I4" i="29"/>
  <c r="H4" i="29"/>
  <c r="I4" i="30"/>
  <c r="H4" i="30"/>
  <c r="H4" i="34"/>
  <c r="I4" i="34"/>
  <c r="D5" i="22"/>
  <c r="D18" i="22"/>
  <c r="D22" i="22"/>
  <c r="D38" i="22"/>
  <c r="F18" i="22"/>
  <c r="P42" i="22"/>
  <c r="D42" i="22"/>
  <c r="P40" i="22"/>
  <c r="D23" i="22"/>
  <c r="E40" i="22"/>
  <c r="D7" i="22"/>
  <c r="F7" i="22"/>
  <c r="P18" i="22"/>
  <c r="E6" i="35"/>
  <c r="E6" i="28"/>
  <c r="E6" i="34"/>
  <c r="E5" i="33"/>
  <c r="E6" i="31"/>
  <c r="E6" i="30"/>
  <c r="E6" i="29"/>
  <c r="E6" i="27"/>
  <c r="Q23" i="22" a="1"/>
  <c r="Q38" i="22" a="1"/>
  <c r="R7" i="22" a="1"/>
  <c r="E38" i="22" a="1"/>
  <c r="P22" i="22" a="1"/>
  <c r="Q42" i="22" a="1"/>
  <c r="P7" i="22" a="1"/>
  <c r="E7" i="22" a="1"/>
  <c r="P24" i="22" a="1"/>
  <c r="P23" i="22" a="1"/>
  <c r="E5" i="22" a="1"/>
  <c r="E23" i="22" a="1"/>
  <c r="Q24" i="22" a="1"/>
  <c r="Q5" i="22" a="1"/>
  <c r="E22" i="22" a="1"/>
  <c r="Q22" i="22" a="1"/>
  <c r="E42" i="22" a="1"/>
  <c r="E24" i="22" a="1"/>
  <c r="P38" i="22" a="1"/>
  <c r="Q7" i="22" a="1"/>
  <c r="P5" i="22" a="1"/>
  <c r="R40" i="22" a="1"/>
  <c r="H5" i="33" l="1"/>
  <c r="I5" i="33"/>
  <c r="E38" i="22"/>
  <c r="P7" i="22"/>
  <c r="R7" i="22"/>
  <c r="E7" i="22"/>
  <c r="E22" i="22"/>
  <c r="P38" i="22"/>
  <c r="E24" i="22"/>
  <c r="Q24" i="22"/>
  <c r="P23" i="22"/>
  <c r="Q5" i="22"/>
  <c r="E42" i="22"/>
  <c r="P24" i="22"/>
  <c r="P5" i="22"/>
  <c r="P22" i="22"/>
  <c r="E5" i="22"/>
  <c r="Q42" i="22"/>
  <c r="R40" i="22"/>
  <c r="Q7" i="22"/>
  <c r="Q22" i="22"/>
  <c r="E23" i="22"/>
  <c r="Q38" i="22"/>
  <c r="Q23" i="22"/>
  <c r="E6" i="33"/>
  <c r="R42" i="22" a="1"/>
  <c r="R38" i="22" a="1"/>
  <c r="Q18" i="22" a="1"/>
  <c r="E18" i="22" a="1"/>
  <c r="R23" i="22" a="1"/>
  <c r="R5" i="22" a="1"/>
  <c r="R22" i="22" a="1"/>
  <c r="R24" i="22" a="1"/>
  <c r="R24" i="22" l="1"/>
  <c r="R42" i="22"/>
  <c r="Q18" i="22"/>
  <c r="R23" i="22"/>
  <c r="E18" i="22"/>
  <c r="R22" i="22"/>
  <c r="R5" i="22"/>
  <c r="R38" i="22"/>
  <c r="F5" i="26"/>
  <c r="F6" i="25"/>
  <c r="F6" i="24"/>
  <c r="F11" i="23"/>
  <c r="F12" i="23" s="1"/>
  <c r="F10" i="23"/>
  <c r="E10" i="23" s="1"/>
  <c r="G10" i="23" s="1"/>
  <c r="D5" i="21"/>
  <c r="D4" i="21"/>
  <c r="E5" i="20"/>
  <c r="D6" i="20"/>
  <c r="F4" i="22" a="1"/>
  <c r="R18" i="22" a="1"/>
  <c r="F32" i="22" a="1"/>
  <c r="D17" i="22" a="1"/>
  <c r="F44" i="22" a="1"/>
  <c r="F44" i="22" l="1"/>
  <c r="H5" i="20"/>
  <c r="I5" i="20"/>
  <c r="G4" i="21"/>
  <c r="G5" i="21"/>
  <c r="F4" i="22"/>
  <c r="R18" i="22"/>
  <c r="D17" i="22"/>
  <c r="F32" i="22"/>
  <c r="F5" i="21"/>
  <c r="E5" i="21" s="1"/>
  <c r="H5" i="21" s="1"/>
  <c r="E4" i="25"/>
  <c r="E4" i="17"/>
  <c r="E4" i="16"/>
  <c r="E4" i="24"/>
  <c r="E5" i="25"/>
  <c r="E4" i="19"/>
  <c r="E5" i="23"/>
  <c r="E4" i="18"/>
  <c r="F4" i="21"/>
  <c r="E4" i="21" s="1"/>
  <c r="H4" i="21" s="1"/>
  <c r="D6" i="24"/>
  <c r="E11" i="23"/>
  <c r="G11" i="23" s="1"/>
  <c r="E5" i="26"/>
  <c r="E4" i="26"/>
  <c r="C6" i="26"/>
  <c r="D6" i="26"/>
  <c r="C6" i="25"/>
  <c r="D6" i="25"/>
  <c r="E5" i="24"/>
  <c r="C6" i="24"/>
  <c r="C6" i="23"/>
  <c r="E4" i="23"/>
  <c r="D6" i="23"/>
  <c r="D12" i="23"/>
  <c r="D6" i="21"/>
  <c r="C6" i="21"/>
  <c r="C6" i="20"/>
  <c r="F6" i="20"/>
  <c r="E4" i="20"/>
  <c r="C6" i="19"/>
  <c r="C6" i="18"/>
  <c r="D6" i="17"/>
  <c r="C6" i="17"/>
  <c r="D6" i="16"/>
  <c r="C6" i="16"/>
  <c r="D6" i="15"/>
  <c r="C6" i="15"/>
  <c r="E4" i="15"/>
  <c r="D6" i="11"/>
  <c r="D11" i="22" a="1"/>
  <c r="D32" i="22" a="1"/>
  <c r="F17" i="22" a="1"/>
  <c r="D6" i="22" a="1"/>
  <c r="P4" i="22" a="1"/>
  <c r="D29" i="22" a="1"/>
  <c r="D28" i="22" a="1"/>
  <c r="D44" i="22" a="1"/>
  <c r="D4" i="22" a="1"/>
  <c r="D16" i="22" a="1"/>
  <c r="Q17" i="22" a="1"/>
  <c r="D20" i="22" a="1"/>
  <c r="D14" i="22" a="1"/>
  <c r="D44" i="22" l="1"/>
  <c r="I5" i="21"/>
  <c r="H4" i="15"/>
  <c r="I4" i="15"/>
  <c r="I4" i="23"/>
  <c r="H4" i="23"/>
  <c r="I4" i="26"/>
  <c r="H4" i="26"/>
  <c r="H5" i="25"/>
  <c r="I5" i="25"/>
  <c r="I4" i="20"/>
  <c r="H4" i="20"/>
  <c r="H5" i="26"/>
  <c r="I5" i="26"/>
  <c r="I4" i="24"/>
  <c r="H4" i="24"/>
  <c r="H4" i="16"/>
  <c r="I4" i="16"/>
  <c r="I5" i="24"/>
  <c r="H5" i="24"/>
  <c r="H4" i="17"/>
  <c r="I4" i="17"/>
  <c r="I4" i="25"/>
  <c r="H4" i="25"/>
  <c r="I4" i="21"/>
  <c r="H4" i="18"/>
  <c r="I4" i="18"/>
  <c r="H5" i="23"/>
  <c r="I5" i="23"/>
  <c r="I4" i="19"/>
  <c r="H4" i="19"/>
  <c r="D20" i="22"/>
  <c r="D4" i="22"/>
  <c r="P4" i="22"/>
  <c r="Q17" i="22"/>
  <c r="D16" i="22"/>
  <c r="F17" i="22"/>
  <c r="D32" i="22"/>
  <c r="D28" i="22"/>
  <c r="D29" i="22"/>
  <c r="D14" i="22"/>
  <c r="D11" i="22"/>
  <c r="D6" i="22"/>
  <c r="F6" i="21"/>
  <c r="E6" i="21"/>
  <c r="E6" i="25"/>
  <c r="E4" i="12"/>
  <c r="F6" i="23"/>
  <c r="E4" i="14"/>
  <c r="E5" i="12"/>
  <c r="E5" i="14"/>
  <c r="E4" i="13"/>
  <c r="E5" i="13"/>
  <c r="C6" i="13"/>
  <c r="E6" i="26"/>
  <c r="E6" i="24"/>
  <c r="E12" i="23"/>
  <c r="E6" i="23"/>
  <c r="E6" i="20"/>
  <c r="E5" i="19"/>
  <c r="F6" i="19"/>
  <c r="D6" i="19"/>
  <c r="E5" i="18"/>
  <c r="F6" i="18"/>
  <c r="D6" i="18"/>
  <c r="C6" i="14"/>
  <c r="D6" i="14"/>
  <c r="D6" i="13"/>
  <c r="D6" i="12"/>
  <c r="C6" i="12"/>
  <c r="C6" i="11"/>
  <c r="E5" i="11"/>
  <c r="F6" i="11"/>
  <c r="E4" i="11"/>
  <c r="E17" i="22" a="1"/>
  <c r="P29" i="22" a="1"/>
  <c r="E32" i="22" a="1"/>
  <c r="D31" i="22" a="1"/>
  <c r="E4" i="22" a="1"/>
  <c r="D30" i="22" a="1"/>
  <c r="P32" i="22" a="1"/>
  <c r="P28" i="22" a="1"/>
  <c r="E6" i="22" a="1"/>
  <c r="D15" i="22" a="1"/>
  <c r="F39" i="22" a="1"/>
  <c r="Q32" i="22" a="1"/>
  <c r="E44" i="22" a="1"/>
  <c r="D10" i="22" a="1"/>
  <c r="Q4" i="22" a="1"/>
  <c r="F28" i="22" a="1"/>
  <c r="E14" i="22" a="1"/>
  <c r="D12" i="22" a="1"/>
  <c r="F6" i="22" a="1"/>
  <c r="E28" i="22" a="1"/>
  <c r="P16" i="22" a="1"/>
  <c r="P6" i="22" a="1"/>
  <c r="D39" i="22" a="1"/>
  <c r="P39" i="22" a="1"/>
  <c r="F20" i="22" a="1"/>
  <c r="Q6" i="22" a="1"/>
  <c r="P10" i="22" a="1"/>
  <c r="Q14" i="22" a="1"/>
  <c r="P11" i="22" a="1"/>
  <c r="P14" i="22" a="1"/>
  <c r="Q28" i="22" a="1"/>
  <c r="P12" i="22" a="1"/>
  <c r="F12" i="22" a="1"/>
  <c r="P17" i="22" a="1"/>
  <c r="E44" i="22" l="1"/>
  <c r="D31" i="22"/>
  <c r="H5" i="12"/>
  <c r="I5" i="12"/>
  <c r="H4" i="14"/>
  <c r="I4" i="14"/>
  <c r="I4" i="11"/>
  <c r="H4" i="11"/>
  <c r="H4" i="12"/>
  <c r="I4" i="12"/>
  <c r="H5" i="18"/>
  <c r="I5" i="18"/>
  <c r="H5" i="19"/>
  <c r="I5" i="19"/>
  <c r="H4" i="13"/>
  <c r="I4" i="13"/>
  <c r="H5" i="11"/>
  <c r="I5" i="11"/>
  <c r="H5" i="13"/>
  <c r="I5" i="13"/>
  <c r="H5" i="14"/>
  <c r="I5" i="14"/>
  <c r="P11" i="22"/>
  <c r="P12" i="22"/>
  <c r="E14" i="22"/>
  <c r="F6" i="22"/>
  <c r="D39" i="22"/>
  <c r="E17" i="22"/>
  <c r="P14" i="22"/>
  <c r="P10" i="22"/>
  <c r="Q6" i="22"/>
  <c r="Q28" i="22"/>
  <c r="F28" i="22"/>
  <c r="P16" i="22"/>
  <c r="E4" i="22"/>
  <c r="D10" i="22"/>
  <c r="F39" i="22"/>
  <c r="P17" i="22"/>
  <c r="D15" i="22"/>
  <c r="E28" i="22"/>
  <c r="F20" i="22"/>
  <c r="D30" i="22"/>
  <c r="P39" i="22"/>
  <c r="E6" i="22"/>
  <c r="F12" i="22"/>
  <c r="P29" i="22"/>
  <c r="P28" i="22"/>
  <c r="Q4" i="22"/>
  <c r="D12" i="22"/>
  <c r="P6" i="22"/>
  <c r="P32" i="22"/>
  <c r="Q32" i="22"/>
  <c r="E32" i="22"/>
  <c r="Q14" i="22"/>
  <c r="F6" i="14"/>
  <c r="E6" i="12"/>
  <c r="F6" i="12"/>
  <c r="F6" i="13"/>
  <c r="E6" i="19"/>
  <c r="E6" i="18"/>
  <c r="E5" i="17"/>
  <c r="F6" i="17"/>
  <c r="E5" i="16"/>
  <c r="F6" i="16"/>
  <c r="E5" i="15"/>
  <c r="F6" i="15"/>
  <c r="E6" i="14"/>
  <c r="E6" i="13"/>
  <c r="E6" i="11"/>
  <c r="E31" i="22" a="1"/>
  <c r="P15" i="22" a="1"/>
  <c r="R28" i="22" a="1"/>
  <c r="Q15" i="22" a="1"/>
  <c r="E15" i="22" a="1"/>
  <c r="F11" i="22" a="1"/>
  <c r="Q12" i="22" a="1"/>
  <c r="F15" i="22" a="1"/>
  <c r="F10" i="22" a="1"/>
  <c r="R4" i="22" a="1"/>
  <c r="F16" i="22" a="1"/>
  <c r="R14" i="22" a="1"/>
  <c r="E12" i="22" a="1"/>
  <c r="F30" i="22" a="1"/>
  <c r="E10" i="22" a="1"/>
  <c r="Q39" i="22" a="1"/>
  <c r="E39" i="22" a="1"/>
  <c r="P20" i="22" a="1"/>
  <c r="R6" i="22" a="1"/>
  <c r="F31" i="22" a="1"/>
  <c r="P30" i="22" a="1"/>
  <c r="R32" i="22" a="1"/>
  <c r="Q20" i="22" a="1"/>
  <c r="R17" i="22" a="1"/>
  <c r="E30" i="22" a="1"/>
  <c r="E20" i="22" a="1"/>
  <c r="Q30" i="22" a="1"/>
  <c r="Q10" i="22" a="1"/>
  <c r="F29" i="22" a="1"/>
  <c r="E31" i="22" l="1"/>
  <c r="F31" i="22"/>
  <c r="I5" i="15"/>
  <c r="H5" i="15"/>
  <c r="H5" i="16"/>
  <c r="I5" i="16"/>
  <c r="I5" i="17"/>
  <c r="H5" i="17"/>
  <c r="P15" i="22"/>
  <c r="E30" i="22"/>
  <c r="P30" i="22"/>
  <c r="R28" i="22"/>
  <c r="R14" i="22"/>
  <c r="F16" i="22"/>
  <c r="F15" i="22"/>
  <c r="Q15" i="22"/>
  <c r="F29" i="22"/>
  <c r="F10" i="22"/>
  <c r="Q39" i="22"/>
  <c r="Q12" i="22"/>
  <c r="E10" i="22"/>
  <c r="E15" i="22"/>
  <c r="F11" i="22"/>
  <c r="R32" i="22"/>
  <c r="F30" i="22"/>
  <c r="E20" i="22"/>
  <c r="R4" i="22"/>
  <c r="R6" i="22"/>
  <c r="Q30" i="22"/>
  <c r="E39" i="22"/>
  <c r="R17" i="22"/>
  <c r="Q20" i="22"/>
  <c r="P20" i="22"/>
  <c r="E12" i="22"/>
  <c r="Q10" i="22"/>
  <c r="E6" i="17"/>
  <c r="E6" i="16"/>
  <c r="E6" i="15"/>
  <c r="R39" i="22" a="1"/>
  <c r="Q16" i="22" a="1"/>
  <c r="R20" i="22" a="1"/>
  <c r="E16" i="22" a="1"/>
  <c r="E11" i="22" a="1"/>
  <c r="R10" i="22" a="1"/>
  <c r="R30" i="22" a="1"/>
  <c r="R12" i="22" a="1"/>
  <c r="Q29" i="22" a="1"/>
  <c r="E29" i="22" a="1"/>
  <c r="R15" i="22" a="1"/>
  <c r="Q11" i="22" a="1"/>
  <c r="E29" i="22" l="1"/>
  <c r="E11" i="22"/>
  <c r="Q16" i="22"/>
  <c r="R30" i="22"/>
  <c r="Q11" i="22"/>
  <c r="R12" i="22"/>
  <c r="R10" i="22"/>
  <c r="Q29" i="22"/>
  <c r="R15" i="22"/>
  <c r="E16" i="22"/>
  <c r="R39" i="22"/>
  <c r="R20" i="22"/>
  <c r="E4" i="10"/>
  <c r="D6" i="10"/>
  <c r="F6" i="9"/>
  <c r="D6" i="9"/>
  <c r="E5" i="9"/>
  <c r="E4" i="9"/>
  <c r="F6" i="8"/>
  <c r="D6" i="8"/>
  <c r="E5" i="8"/>
  <c r="E4" i="8"/>
  <c r="C20" i="7"/>
  <c r="B20" i="7"/>
  <c r="C11" i="7"/>
  <c r="B11" i="7"/>
  <c r="N21" i="7"/>
  <c r="N20" i="7"/>
  <c r="N19" i="7"/>
  <c r="N17" i="7"/>
  <c r="N16" i="7"/>
  <c r="N12" i="7"/>
  <c r="N11" i="7"/>
  <c r="N10" i="7"/>
  <c r="N8" i="7"/>
  <c r="N7" i="7"/>
  <c r="N3" i="7"/>
  <c r="N2" i="7"/>
  <c r="N1" i="7"/>
  <c r="G26" i="7"/>
  <c r="G25" i="7"/>
  <c r="G21" i="7"/>
  <c r="G20" i="7"/>
  <c r="G19" i="7"/>
  <c r="G17" i="7"/>
  <c r="G16" i="7"/>
  <c r="G12" i="7"/>
  <c r="G11" i="7"/>
  <c r="G10" i="7"/>
  <c r="G8" i="7"/>
  <c r="G7" i="7"/>
  <c r="G3" i="7"/>
  <c r="G2" i="7"/>
  <c r="G1" i="7"/>
  <c r="I21" i="7"/>
  <c r="I20" i="7"/>
  <c r="I12" i="7"/>
  <c r="I11" i="7"/>
  <c r="I3" i="7"/>
  <c r="I2" i="7"/>
  <c r="B21" i="7"/>
  <c r="B12" i="7"/>
  <c r="B3" i="7"/>
  <c r="B2" i="7"/>
  <c r="I23" i="7"/>
  <c r="I22" i="7"/>
  <c r="I13" i="7"/>
  <c r="I14" i="7"/>
  <c r="I5" i="7"/>
  <c r="J4" i="7"/>
  <c r="B23" i="7"/>
  <c r="B14" i="7"/>
  <c r="F6" i="3"/>
  <c r="D6" i="3"/>
  <c r="F6" i="2"/>
  <c r="F6" i="1"/>
  <c r="D6" i="1"/>
  <c r="J15" i="7" s="1"/>
  <c r="F6" i="4"/>
  <c r="L24" i="7" s="1"/>
  <c r="D6" i="4"/>
  <c r="F6" i="5"/>
  <c r="D6" i="5"/>
  <c r="D6" i="6"/>
  <c r="F6" i="6"/>
  <c r="B5" i="7"/>
  <c r="B4" i="7"/>
  <c r="H26" i="7"/>
  <c r="H19" i="7"/>
  <c r="K19" i="7"/>
  <c r="L19" i="7"/>
  <c r="M19" i="7"/>
  <c r="H20" i="7"/>
  <c r="J20" i="7"/>
  <c r="K20" i="7"/>
  <c r="L20" i="7"/>
  <c r="M20" i="7"/>
  <c r="H21" i="7"/>
  <c r="J21" i="7"/>
  <c r="K21" i="7"/>
  <c r="L21" i="7"/>
  <c r="M21" i="7"/>
  <c r="H22" i="7"/>
  <c r="J22" i="7"/>
  <c r="L22" i="7"/>
  <c r="H23" i="7"/>
  <c r="J23" i="7"/>
  <c r="L23" i="7"/>
  <c r="H24" i="7"/>
  <c r="H10" i="7"/>
  <c r="K10" i="7"/>
  <c r="L10" i="7"/>
  <c r="M10" i="7"/>
  <c r="H11" i="7"/>
  <c r="J11" i="7"/>
  <c r="K11" i="7"/>
  <c r="L11" i="7"/>
  <c r="M11" i="7"/>
  <c r="H12" i="7"/>
  <c r="J12" i="7"/>
  <c r="K12" i="7"/>
  <c r="L12" i="7"/>
  <c r="M12" i="7"/>
  <c r="H13" i="7"/>
  <c r="J13" i="7"/>
  <c r="L13" i="7"/>
  <c r="H14" i="7"/>
  <c r="J14" i="7"/>
  <c r="L14" i="7"/>
  <c r="H15" i="7"/>
  <c r="H16" i="7"/>
  <c r="K16" i="7"/>
  <c r="L16" i="7"/>
  <c r="M16" i="7"/>
  <c r="H17" i="7"/>
  <c r="K17" i="7"/>
  <c r="L17" i="7"/>
  <c r="M17" i="7"/>
  <c r="H1" i="7"/>
  <c r="K1" i="7"/>
  <c r="L1" i="7"/>
  <c r="M1" i="7"/>
  <c r="H2" i="7"/>
  <c r="J2" i="7"/>
  <c r="K2" i="7"/>
  <c r="L2" i="7"/>
  <c r="M2" i="7"/>
  <c r="H3" i="7"/>
  <c r="J3" i="7"/>
  <c r="K3" i="7"/>
  <c r="L3" i="7"/>
  <c r="M3" i="7"/>
  <c r="H4" i="7"/>
  <c r="L4" i="7"/>
  <c r="H5" i="7"/>
  <c r="J5" i="7"/>
  <c r="L5" i="7"/>
  <c r="H6" i="7"/>
  <c r="H7" i="7"/>
  <c r="K7" i="7"/>
  <c r="L7" i="7"/>
  <c r="M7" i="7"/>
  <c r="H8" i="7"/>
  <c r="K8" i="7"/>
  <c r="L8" i="7"/>
  <c r="M8" i="7"/>
  <c r="A19" i="7"/>
  <c r="D19" i="7"/>
  <c r="E19" i="7"/>
  <c r="F19" i="7"/>
  <c r="A20" i="7"/>
  <c r="D20" i="7"/>
  <c r="E20" i="7"/>
  <c r="F20" i="7"/>
  <c r="A21" i="7"/>
  <c r="C21" i="7"/>
  <c r="D21" i="7"/>
  <c r="E21" i="7"/>
  <c r="F21" i="7"/>
  <c r="A22" i="7"/>
  <c r="C22" i="7"/>
  <c r="E22" i="7"/>
  <c r="A23" i="7"/>
  <c r="C23" i="7"/>
  <c r="E23" i="7"/>
  <c r="A24" i="7"/>
  <c r="A25" i="7"/>
  <c r="D25" i="7"/>
  <c r="E25" i="7"/>
  <c r="F25" i="7"/>
  <c r="A26" i="7"/>
  <c r="F26" i="7"/>
  <c r="A10" i="7"/>
  <c r="D10" i="7"/>
  <c r="E10" i="7"/>
  <c r="F10" i="7"/>
  <c r="A11" i="7"/>
  <c r="D11" i="7"/>
  <c r="E11" i="7"/>
  <c r="F11" i="7"/>
  <c r="A12" i="7"/>
  <c r="C12" i="7"/>
  <c r="D12" i="7"/>
  <c r="E12" i="7"/>
  <c r="F12" i="7"/>
  <c r="A13" i="7"/>
  <c r="C13" i="7"/>
  <c r="E13" i="7"/>
  <c r="A14" i="7"/>
  <c r="C14" i="7"/>
  <c r="E14" i="7"/>
  <c r="A15" i="7"/>
  <c r="A16" i="7"/>
  <c r="D16" i="7"/>
  <c r="E16" i="7"/>
  <c r="F16" i="7"/>
  <c r="A17" i="7"/>
  <c r="F17" i="7"/>
  <c r="A1" i="7"/>
  <c r="D1" i="7"/>
  <c r="E1" i="7"/>
  <c r="F1" i="7"/>
  <c r="A2" i="7"/>
  <c r="C2" i="7"/>
  <c r="D2" i="7"/>
  <c r="E2" i="7"/>
  <c r="F2" i="7"/>
  <c r="A3" i="7"/>
  <c r="C3" i="7"/>
  <c r="D3" i="7"/>
  <c r="E3" i="7"/>
  <c r="F3" i="7"/>
  <c r="A4" i="7"/>
  <c r="C4" i="7"/>
  <c r="E4" i="7"/>
  <c r="A5" i="7"/>
  <c r="C5" i="7"/>
  <c r="E5" i="7"/>
  <c r="A6" i="7"/>
  <c r="A7" i="7"/>
  <c r="D7" i="7"/>
  <c r="E7" i="7"/>
  <c r="F7" i="7"/>
  <c r="A8" i="7"/>
  <c r="D8" i="7"/>
  <c r="E8" i="7"/>
  <c r="F8" i="7"/>
  <c r="E5" i="6"/>
  <c r="E4" i="6"/>
  <c r="E5" i="5"/>
  <c r="E4" i="5"/>
  <c r="E5" i="4"/>
  <c r="E4" i="4"/>
  <c r="E5" i="3"/>
  <c r="E4" i="3"/>
  <c r="E5" i="2"/>
  <c r="E4" i="1"/>
  <c r="F9" i="22" a="1"/>
  <c r="R16" i="22" a="1"/>
  <c r="F35" i="22" a="1"/>
  <c r="F36" i="22" a="1"/>
  <c r="F45" i="22" a="1"/>
  <c r="F25" i="22" a="1"/>
  <c r="R11" i="22" a="1"/>
  <c r="D35" i="22" a="1"/>
  <c r="R29" i="22" a="1"/>
  <c r="D43" i="22" a="1"/>
  <c r="D25" i="22" a="1"/>
  <c r="D21" i="22" a="1"/>
  <c r="D9" i="22" a="1"/>
  <c r="F43" i="22" a="1"/>
  <c r="D27" i="22" a="1"/>
  <c r="D36" i="22" a="1"/>
  <c r="F19" i="22" a="1"/>
  <c r="F21" i="22" a="1"/>
  <c r="D45" i="22" a="1"/>
  <c r="I4" i="1" l="1"/>
  <c r="N13" i="7" s="1"/>
  <c r="H4" i="1"/>
  <c r="H4" i="6"/>
  <c r="I4" i="6"/>
  <c r="G4" i="7" s="1"/>
  <c r="I4" i="3"/>
  <c r="G22" i="7" s="1"/>
  <c r="H4" i="3"/>
  <c r="H5" i="8"/>
  <c r="I5" i="8"/>
  <c r="H4" i="10"/>
  <c r="I4" i="10"/>
  <c r="I5" i="3"/>
  <c r="G23" i="7" s="1"/>
  <c r="H5" i="3"/>
  <c r="H5" i="6"/>
  <c r="I5" i="6"/>
  <c r="G5" i="7" s="1"/>
  <c r="I4" i="4"/>
  <c r="N22" i="7" s="1"/>
  <c r="H4" i="4"/>
  <c r="I5" i="4"/>
  <c r="N23" i="7" s="1"/>
  <c r="H5" i="4"/>
  <c r="I4" i="9"/>
  <c r="H4" i="9"/>
  <c r="H5" i="5"/>
  <c r="I5" i="5"/>
  <c r="G14" i="7" s="1"/>
  <c r="H5" i="2"/>
  <c r="I5" i="2"/>
  <c r="N5" i="7" s="1"/>
  <c r="I4" i="8"/>
  <c r="H4" i="8"/>
  <c r="H4" i="5"/>
  <c r="I4" i="5"/>
  <c r="G13" i="7" s="1"/>
  <c r="H5" i="9"/>
  <c r="I5" i="9"/>
  <c r="F9" i="22"/>
  <c r="R29" i="22"/>
  <c r="D43" i="22"/>
  <c r="D25" i="22"/>
  <c r="D45" i="22"/>
  <c r="F25" i="22"/>
  <c r="R16" i="22"/>
  <c r="F45" i="22"/>
  <c r="F19" i="22"/>
  <c r="D21" i="22"/>
  <c r="F21" i="22"/>
  <c r="D36" i="22"/>
  <c r="F43" i="22"/>
  <c r="D35" i="22"/>
  <c r="R11" i="22"/>
  <c r="F36" i="22"/>
  <c r="F35" i="22"/>
  <c r="D9" i="22"/>
  <c r="D27" i="22"/>
  <c r="L15" i="7"/>
  <c r="E6" i="7"/>
  <c r="L6" i="7"/>
  <c r="E24" i="7"/>
  <c r="E15" i="7"/>
  <c r="F23" i="7"/>
  <c r="K23" i="7"/>
  <c r="M23" i="7"/>
  <c r="D13" i="7"/>
  <c r="C6" i="7"/>
  <c r="C24" i="7"/>
  <c r="C15" i="7"/>
  <c r="J24" i="7"/>
  <c r="C6" i="2"/>
  <c r="I6" i="7" s="1"/>
  <c r="E6" i="3"/>
  <c r="F5" i="10"/>
  <c r="F6" i="10" s="1"/>
  <c r="C6" i="10"/>
  <c r="B13" i="7"/>
  <c r="I4" i="7"/>
  <c r="D5" i="7"/>
  <c r="D23" i="7"/>
  <c r="C6" i="6"/>
  <c r="B6" i="7" s="1"/>
  <c r="E6" i="6"/>
  <c r="E6" i="5"/>
  <c r="B22" i="7"/>
  <c r="C6" i="9"/>
  <c r="E6" i="9"/>
  <c r="E6" i="8"/>
  <c r="C6" i="8"/>
  <c r="E6" i="4"/>
  <c r="C6" i="4"/>
  <c r="I24" i="7" s="1"/>
  <c r="C6" i="1"/>
  <c r="I15" i="7" s="1"/>
  <c r="E4" i="2"/>
  <c r="D6" i="2"/>
  <c r="C6" i="3"/>
  <c r="B24" i="7" s="1"/>
  <c r="C6" i="5"/>
  <c r="B15" i="7" s="1"/>
  <c r="K22" i="7"/>
  <c r="D14" i="7"/>
  <c r="D22" i="7"/>
  <c r="K13" i="7"/>
  <c r="K5" i="7"/>
  <c r="D4" i="7"/>
  <c r="E5" i="1"/>
  <c r="E45" i="22" a="1"/>
  <c r="E43" i="22" a="1"/>
  <c r="P35" i="22" a="1"/>
  <c r="P27" i="22" a="1"/>
  <c r="Q43" i="22" a="1"/>
  <c r="P45" i="22" a="1"/>
  <c r="E21" i="22" a="1"/>
  <c r="P43" i="22" a="1"/>
  <c r="Q9" i="22" a="1"/>
  <c r="Q35" i="22" a="1"/>
  <c r="Q36" i="22" a="1"/>
  <c r="D19" i="22" a="1"/>
  <c r="E9" i="22" a="1"/>
  <c r="P36" i="22" a="1"/>
  <c r="F27" i="22" a="1"/>
  <c r="P21" i="22" a="1"/>
  <c r="E35" i="22" a="1"/>
  <c r="P25" i="22" a="1"/>
  <c r="P9" i="22" a="1"/>
  <c r="Q19" i="22" a="1"/>
  <c r="Q45" i="22" a="1"/>
  <c r="E36" i="22" a="1"/>
  <c r="Q21" i="22" a="1"/>
  <c r="I4" i="2" l="1"/>
  <c r="H4" i="2"/>
  <c r="I5" i="1"/>
  <c r="N14" i="7" s="1"/>
  <c r="H5" i="1"/>
  <c r="E36" i="22"/>
  <c r="P36" i="22"/>
  <c r="P25" i="22"/>
  <c r="Q45" i="22"/>
  <c r="P9" i="22"/>
  <c r="E9" i="22"/>
  <c r="Q21" i="22"/>
  <c r="Q36" i="22"/>
  <c r="F27" i="22"/>
  <c r="E43" i="22"/>
  <c r="P21" i="22"/>
  <c r="Q9" i="22"/>
  <c r="P45" i="22"/>
  <c r="Q43" i="22"/>
  <c r="E45" i="22"/>
  <c r="E35" i="22"/>
  <c r="D19" i="22"/>
  <c r="P35" i="22"/>
  <c r="E21" i="22"/>
  <c r="Q19" i="22"/>
  <c r="P27" i="22"/>
  <c r="Q35" i="22"/>
  <c r="P43" i="22"/>
  <c r="F13" i="7"/>
  <c r="M13" i="7"/>
  <c r="F5" i="7"/>
  <c r="M22" i="7"/>
  <c r="F14" i="7"/>
  <c r="F4" i="7"/>
  <c r="D6" i="7"/>
  <c r="M5" i="7"/>
  <c r="F22" i="7"/>
  <c r="G24" i="7"/>
  <c r="G15" i="7"/>
  <c r="N24" i="7"/>
  <c r="D24" i="7"/>
  <c r="N4" i="7"/>
  <c r="G6" i="7"/>
  <c r="J6" i="7"/>
  <c r="E5" i="10"/>
  <c r="K14" i="7"/>
  <c r="E6" i="1"/>
  <c r="K24" i="7"/>
  <c r="D15" i="7"/>
  <c r="E6" i="2"/>
  <c r="K4" i="7"/>
  <c r="R43" i="22" a="1"/>
  <c r="R9" i="22" a="1"/>
  <c r="E25" i="22" a="1"/>
  <c r="P19" i="22" a="1"/>
  <c r="Q25" i="22" a="1"/>
  <c r="R36" i="22" a="1"/>
  <c r="E19" i="22" a="1"/>
  <c r="R21" i="22" a="1"/>
  <c r="R35" i="22" a="1"/>
  <c r="R45" i="22" a="1"/>
  <c r="I5" i="10" l="1"/>
  <c r="H5" i="10"/>
  <c r="E19" i="22"/>
  <c r="R9" i="22"/>
  <c r="P19" i="22"/>
  <c r="R45" i="22"/>
  <c r="Q25" i="22"/>
  <c r="R36" i="22"/>
  <c r="E25" i="22"/>
  <c r="R21" i="22"/>
  <c r="R35" i="22"/>
  <c r="R43" i="22"/>
  <c r="M24" i="7"/>
  <c r="M4" i="7"/>
  <c r="F6" i="7"/>
  <c r="M14" i="7"/>
  <c r="F15" i="7"/>
  <c r="F24" i="7"/>
  <c r="N15" i="7"/>
  <c r="E6" i="10"/>
  <c r="N6" i="7"/>
  <c r="K6" i="7"/>
  <c r="K15" i="7"/>
  <c r="Q27" i="22" a="1"/>
  <c r="E27" i="22" a="1"/>
  <c r="R19" i="22" a="1"/>
  <c r="R25" i="22" a="1"/>
  <c r="Q27" i="22" l="1"/>
  <c r="E27" i="22"/>
  <c r="R19" i="22"/>
  <c r="R25" i="22"/>
  <c r="M6" i="7"/>
  <c r="M15" i="7"/>
  <c r="R27" i="22" a="1"/>
  <c r="R27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tc={042BE5A1-D466-421B-A069-47971152896A}</author>
  </authors>
  <commentList>
    <comment ref="G4" authorId="0" shapeId="0" xr:uid="{042BE5A1-D466-421B-A069-47971152896A}">
      <text>
        <t>[Kommenttiketju]
Excel-versiosi avulla voit lukea tämän kommenttiketjun, mutta siihen tehdyt muutokset poistetaan, jos tiedosto avataan uudemmassa Excel-versiossa. Lisätietoja: https://go.microsoft.com/fwlink/?linkid=870924
Kommentti:
    Yksinkertainen on kaunista. 80-luvn opit pätevät edelleen!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<sst xmlns="http://schemas.openxmlformats.org/spreadsheetml/2006/main" count="799" uniqueCount="152">
  <si>
    <t>If I do not find whole year guidances, I  use consensus estimates for Q4/2024</t>
  </si>
  <si>
    <t>Company</t>
  </si>
  <si>
    <t>Country</t>
  </si>
  <si>
    <t>Evaluation</t>
  </si>
  <si>
    <t>RTD1</t>
  </si>
  <si>
    <t>RTD2</t>
  </si>
  <si>
    <t>RTD3</t>
  </si>
  <si>
    <t>EBIT1-6%</t>
  </si>
  <si>
    <t>EBIT7-12%</t>
  </si>
  <si>
    <t>EBITfullyear%</t>
  </si>
  <si>
    <t>Guidance</t>
  </si>
  <si>
    <t>RTA Revenue</t>
  </si>
  <si>
    <t>RTA EBIT/EBITDA</t>
  </si>
  <si>
    <t>RTA EBIT/EBITDA%</t>
  </si>
  <si>
    <t>EBIT/EBITDA% 1-9</t>
  </si>
  <si>
    <t>EBIT/EBITDA% 10-12 needed</t>
  </si>
  <si>
    <t>EBIT/EBITDA% full year guidance/consensus</t>
  </si>
  <si>
    <t>ProfitWarningIssued?</t>
  </si>
  <si>
    <t>Updated</t>
  </si>
  <si>
    <t>Admicom</t>
  </si>
  <si>
    <t>Finland</t>
  </si>
  <si>
    <t>Alphabet</t>
  </si>
  <si>
    <t>USA</t>
  </si>
  <si>
    <t>Amazon</t>
  </si>
  <si>
    <t>Apple</t>
  </si>
  <si>
    <t>AssaAbloy</t>
  </si>
  <si>
    <t>Sweden</t>
  </si>
  <si>
    <t>AtlasCopco</t>
  </si>
  <si>
    <t>Booking</t>
  </si>
  <si>
    <t>Capman</t>
  </si>
  <si>
    <t>Digia</t>
  </si>
  <si>
    <t>Epiroc</t>
  </si>
  <si>
    <t>Etteplan</t>
  </si>
  <si>
    <t>Fiskars</t>
  </si>
  <si>
    <t>Kamux</t>
  </si>
  <si>
    <t>Kemira</t>
  </si>
  <si>
    <t>Kempower</t>
  </si>
  <si>
    <t>Kesko</t>
  </si>
  <si>
    <t>Kone</t>
  </si>
  <si>
    <t>Konecranes</t>
  </si>
  <si>
    <t>Koskisen</t>
  </si>
  <si>
    <t>Lapwall</t>
  </si>
  <si>
    <t>positive</t>
  </si>
  <si>
    <t>Lassila</t>
  </si>
  <si>
    <t>Marimekko</t>
  </si>
  <si>
    <t>Meta</t>
  </si>
  <si>
    <t>Microsoft</t>
  </si>
  <si>
    <t>Nokia</t>
  </si>
  <si>
    <t>Nvidia</t>
  </si>
  <si>
    <t>Orion</t>
  </si>
  <si>
    <t>Puuilo</t>
  </si>
  <si>
    <t>Raute</t>
  </si>
  <si>
    <t>Revenio</t>
  </si>
  <si>
    <t>Scanfil</t>
  </si>
  <si>
    <t>Siili</t>
  </si>
  <si>
    <t>Tecnotree</t>
  </si>
  <si>
    <t>Titanium</t>
  </si>
  <si>
    <t>Tokmanni</t>
  </si>
  <si>
    <t>Valmet</t>
  </si>
  <si>
    <t>Volvo</t>
  </si>
  <si>
    <t>ADMICOM</t>
  </si>
  <si>
    <t>Realistic guidance</t>
  </si>
  <si>
    <t>1-9</t>
  </si>
  <si>
    <t>10-12</t>
  </si>
  <si>
    <t>12-month guidance</t>
  </si>
  <si>
    <t>Revenue</t>
  </si>
  <si>
    <t>EBITDA</t>
  </si>
  <si>
    <t>EBITDA%</t>
  </si>
  <si>
    <t>CAPMAN</t>
  </si>
  <si>
    <t>Not realistic guidance</t>
  </si>
  <si>
    <t>12-month consensus</t>
  </si>
  <si>
    <t>EBIT adjusted</t>
  </si>
  <si>
    <t>EBIT %</t>
  </si>
  <si>
    <t>DIGIA</t>
  </si>
  <si>
    <t>Low EBITA guidance</t>
  </si>
  <si>
    <t>growth assumption</t>
  </si>
  <si>
    <t>Revenue and EBITA</t>
  </si>
  <si>
    <t>EBITA</t>
  </si>
  <si>
    <t>EBITA%</t>
  </si>
  <si>
    <t>ETTEPLAN</t>
  </si>
  <si>
    <t>EBIT</t>
  </si>
  <si>
    <t>FISKARS</t>
  </si>
  <si>
    <t>EBIT%</t>
  </si>
  <si>
    <t>KAMUX</t>
  </si>
  <si>
    <t>KEMIRA</t>
  </si>
  <si>
    <t>Low EBITDA guidance</t>
  </si>
  <si>
    <t>EBITDA adjusted</t>
  </si>
  <si>
    <t>KEMPOWER</t>
  </si>
  <si>
    <t>OHJEISTUKSEN YLÄLAITA</t>
  </si>
  <si>
    <t>REQUIRED</t>
  </si>
  <si>
    <t>6 months</t>
  </si>
  <si>
    <t>end of the year</t>
  </si>
  <si>
    <t>GROWTH%</t>
  </si>
  <si>
    <t>Sales</t>
  </si>
  <si>
    <t>KESKO</t>
  </si>
  <si>
    <t>EBIT comparable</t>
  </si>
  <si>
    <t>KONE</t>
  </si>
  <si>
    <t>KONECRANES</t>
  </si>
  <si>
    <t>KOSKISEN</t>
  </si>
  <si>
    <t>EBITDA ADJUSTED</t>
  </si>
  <si>
    <t>LAPWALL</t>
  </si>
  <si>
    <t>EBIT without goodwill depreciations</t>
  </si>
  <si>
    <t>LASSILA &amp; TIKANOJA</t>
  </si>
  <si>
    <t>MARIMEKKO</t>
  </si>
  <si>
    <t>NOKIA</t>
  </si>
  <si>
    <t>EBIT adj.</t>
  </si>
  <si>
    <t>ORION</t>
  </si>
  <si>
    <t>PUUILO</t>
  </si>
  <si>
    <t>EBITA adjusted</t>
  </si>
  <si>
    <t>ESTIMATE</t>
  </si>
  <si>
    <t>RAUTE</t>
  </si>
  <si>
    <t>ebitda comparable</t>
  </si>
  <si>
    <t>EBITDA %</t>
  </si>
  <si>
    <t>REVENIO</t>
  </si>
  <si>
    <t>SCANFIL</t>
  </si>
  <si>
    <t>Realistic guidance?</t>
  </si>
  <si>
    <t>SIILI</t>
  </si>
  <si>
    <t>TECNOTREE</t>
  </si>
  <si>
    <t>TITANIUM</t>
  </si>
  <si>
    <t>TOKMANNI</t>
  </si>
  <si>
    <t>VALMET</t>
  </si>
  <si>
    <t>ASSA ABLOY</t>
  </si>
  <si>
    <t>Realistic consensus</t>
  </si>
  <si>
    <t>ATLAS COPCO</t>
  </si>
  <si>
    <t>Realistic consensus?</t>
  </si>
  <si>
    <t>EPIROC</t>
  </si>
  <si>
    <t>VOLVO</t>
  </si>
  <si>
    <t>ALPHABET</t>
  </si>
  <si>
    <t>AMAZON</t>
  </si>
  <si>
    <t>APPLE</t>
  </si>
  <si>
    <t>BOOKING</t>
  </si>
  <si>
    <t>META</t>
  </si>
  <si>
    <t>MICROSOFT</t>
  </si>
  <si>
    <t>NVIDIA</t>
  </si>
  <si>
    <t>UPM</t>
  </si>
  <si>
    <t>Low EBIT guidance</t>
  </si>
  <si>
    <t>Nokian_Tyres</t>
  </si>
  <si>
    <t>TALENOM</t>
  </si>
  <si>
    <t>QT</t>
  </si>
  <si>
    <t>Talenom</t>
  </si>
  <si>
    <t>Qt</t>
  </si>
  <si>
    <t>NOKIAN TYRES</t>
  </si>
  <si>
    <t>1-9A</t>
  </si>
  <si>
    <t>10-12E</t>
  </si>
  <si>
    <t>1-12E</t>
  </si>
  <si>
    <t>Not realistic consensus</t>
  </si>
  <si>
    <t>negative</t>
  </si>
  <si>
    <t>Rank</t>
  </si>
  <si>
    <t>1-6</t>
  </si>
  <si>
    <t>7-12</t>
  </si>
  <si>
    <t>EBITA %</t>
  </si>
  <si>
    <t>NVidia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</si>
</sst>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\ %"/>
    <numFmt numFmtId="166" formatCode="_-* #,##0.0_-;\-* #,##0.0_-;_-* &quot;-&quot;??_-;_-@_-"/>
    <numFmt numFmtId="167" formatCode="#,##0.0_ ;[Red]\-#,##0.0\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9" fontId="2" fillId="0" borderId="0" xfId="2" applyFont="1"/>
    <xf numFmtId="0" fontId="2" fillId="0" borderId="0" xfId="0" applyFont="1"/>
    <xf numFmtId="43" fontId="0" fillId="0" borderId="0" xfId="1" applyFont="1"/>
    <xf numFmtId="166" fontId="0" fillId="0" borderId="0" xfId="1" applyNumberFormat="1" applyFont="1"/>
    <xf numFmtId="166" fontId="2" fillId="0" borderId="0" xfId="1" applyNumberFormat="1" applyFont="1"/>
    <xf numFmtId="164" fontId="2" fillId="0" borderId="0" xfId="1" applyNumberFormat="1" applyFont="1"/>
    <xf numFmtId="164" fontId="0" fillId="0" borderId="0" xfId="1" quotePrefix="1" applyNumberFormat="1" applyFont="1" applyAlignment="1">
      <alignment horizontal="right"/>
    </xf>
    <xf numFmtId="16" fontId="0" fillId="0" borderId="0" xfId="0" quotePrefix="1" applyNumberFormat="1" applyAlignment="1">
      <alignment horizontal="right"/>
    </xf>
    <xf numFmtId="165" fontId="2" fillId="0" borderId="0" xfId="2" applyNumberFormat="1" applyFont="1"/>
    <xf numFmtId="0" fontId="3" fillId="0" borderId="0" xfId="0" applyFont="1"/>
    <xf numFmtId="167" fontId="0" fillId="0" borderId="0" xfId="1" applyNumberFormat="1" applyFont="1"/>
    <xf numFmtId="167" fontId="0" fillId="0" borderId="0" xfId="0" applyNumberFormat="1"/>
    <xf numFmtId="167" fontId="2" fillId="0" borderId="0" xfId="1" applyNumberFormat="1" applyFont="1"/>
    <xf numFmtId="0" fontId="2" fillId="0" borderId="0" xfId="0" applyFont="1" applyAlignment="1">
      <alignment horizontal="right"/>
    </xf>
    <xf numFmtId="0" fontId="2" fillId="3" borderId="1" xfId="0" applyFont="1" applyFill="1" applyBorder="1"/>
    <xf numFmtId="0" fontId="2" fillId="2" borderId="1" xfId="0" applyFont="1" applyFill="1" applyBorder="1"/>
    <xf numFmtId="0" fontId="4" fillId="0" borderId="0" xfId="3"/>
    <xf numFmtId="164" fontId="2" fillId="0" borderId="0" xfId="1" applyNumberFormat="1" applyFont="1" applyAlignment="1">
      <alignment horizontal="right"/>
    </xf>
    <xf numFmtId="0" fontId="5" fillId="4" borderId="0" xfId="0" applyFont="1" applyFill="1"/>
    <xf numFmtId="0" fontId="0" fillId="3" borderId="0" xfId="0" applyFill="1"/>
    <xf numFmtId="0" fontId="0" fillId="5" borderId="0" xfId="0" applyFill="1"/>
    <xf numFmtId="16" fontId="3" fillId="0" borderId="0" xfId="0" quotePrefix="1" applyNumberFormat="1" applyFont="1" applyAlignment="1">
      <alignment horizontal="right"/>
    </xf>
    <xf numFmtId="167" fontId="3" fillId="0" borderId="0" xfId="1" applyNumberFormat="1" applyFont="1"/>
    <xf numFmtId="165" fontId="3" fillId="0" borderId="0" xfId="2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left" vertical="top"/>
    </xf>
    <xf numFmtId="16" fontId="0" fillId="0" borderId="0" xfId="0" quotePrefix="1" applyNumberFormat="1" applyAlignment="1">
      <alignment horizontal="left" vertical="top"/>
    </xf>
    <xf numFmtId="164" fontId="0" fillId="0" borderId="0" xfId="1" quotePrefix="1" applyNumberFormat="1" applyFont="1" applyAlignment="1">
      <alignment horizontal="left" vertical="top"/>
    </xf>
    <xf numFmtId="16" fontId="2" fillId="0" borderId="0" xfId="0" quotePrefix="1" applyNumberFormat="1" applyFont="1" applyAlignment="1">
      <alignment horizontal="left" vertical="top"/>
    </xf>
    <xf numFmtId="0" fontId="0" fillId="0" borderId="0" xfId="0" applyAlignment="1">
      <alignment horizontal="right" vertical="top"/>
    </xf>
    <xf numFmtId="165" fontId="0" fillId="0" borderId="0" xfId="0" applyNumberFormat="1"/>
    <xf numFmtId="0" fontId="4" fillId="4" borderId="0" xfId="3" applyFill="1"/>
    <xf numFmtId="0" fontId="4" fillId="0" borderId="0" xfId="3" applyNumberFormat="1"/>
    <xf numFmtId="165" fontId="4" fillId="0" borderId="0" xfId="3" applyNumberFormat="1"/>
    <xf numFmtId="0" fontId="2" fillId="0" borderId="0" xfId="0" applyFont="1" applyAlignment="1">
      <alignment horizontal="right" vertical="top"/>
    </xf>
    <xf numFmtId="165" fontId="1" fillId="0" borderId="0" xfId="2" applyNumberFormat="1" applyFont="1"/>
    <xf numFmtId="167" fontId="0" fillId="3" borderId="0" xfId="1" applyNumberFormat="1" applyFont="1" applyFill="1"/>
    <xf numFmtId="167" fontId="3" fillId="3" borderId="0" xfId="1" applyNumberFormat="1" applyFont="1" applyFill="1"/>
    <xf numFmtId="165" fontId="2" fillId="3" borderId="0" xfId="2" applyNumberFormat="1" applyFont="1" applyFill="1"/>
    <xf numFmtId="165" fontId="3" fillId="3" borderId="0" xfId="2" applyNumberFormat="1" applyFont="1" applyFill="1"/>
    <xf numFmtId="165" fontId="0" fillId="3" borderId="0" xfId="2" applyNumberFormat="1" applyFont="1" applyFill="1"/>
    <xf numFmtId="1" fontId="0" fillId="0" borderId="0" xfId="0" applyNumberFormat="1"/>
    <xf numFmtId="0" fontId="2" fillId="5" borderId="1" xfId="0" applyFont="1" applyFill="1" applyBorder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2" borderId="0" xfId="0" applyFill="1"/>
    <xf numFmtId="1" fontId="0" fillId="3" borderId="0" xfId="0" applyNumberFormat="1" applyFill="1"/>
    <xf numFmtId="165" fontId="0" fillId="3" borderId="0" xfId="0" applyNumberFormat="1" applyFill="1"/>
    <xf numFmtId="14" fontId="0" fillId="3" borderId="0" xfId="0" applyNumberFormat="1" applyFill="1"/>
  </cellXfs>
  <cellStyles count="4">
    <cellStyle name="Hyperlinkki" xfId="3" builtinId="8"/>
    <cellStyle name="Normaali" xfId="0" builtinId="0"/>
    <cellStyle name="Pilkku" xfId="1" builtinId="3"/>
    <cellStyle name="Prosenttia" xfId="2" builtinId="5"/>
  </cellStyles>
  <dxfs count="25"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numFmt numFmtId="1" formatCode="0"/>
    </dxf>
    <dxf>
      <numFmt numFmtId="165" formatCode="0.0\ %"/>
    </dxf>
    <dxf>
      <numFmt numFmtId="165" formatCode="0.0\ %"/>
    </dxf>
    <dxf>
      <numFmt numFmtId="165" formatCode="0.0\ %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5" formatCode="0.0\ %"/>
    </dxf>
    <dxf>
      <numFmt numFmtId="165" formatCode="0.0\ %"/>
    </dxf>
    <dxf>
      <numFmt numFmtId="165" formatCode="0.0\ %"/>
    </dxf>
    <dxf>
      <numFmt numFmtId="165" formatCode="0.0\ %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Admicom!$A$1</c:f>
          <c:strCache>
            <c:ptCount val="1"/>
            <c:pt idx="0">
              <c:v>ADMICOM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Admicom!$A$4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Admicom!$B$2:$E$3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Admicom!$B$4:$E$4</c:f>
              <c:numCache>
                <c:formatCode>#\ ##0.0_ ;[Red]\-#\ ##0.0\ </c:formatCode>
                <c:ptCount val="4"/>
                <c:pt idx="0">
                  <c:v>26.1</c:v>
                </c:pt>
                <c:pt idx="1">
                  <c:v>8.1999999999999993</c:v>
                </c:pt>
                <c:pt idx="2">
                  <c:v>26.8</c:v>
                </c:pt>
                <c:pt idx="3">
                  <c:v>9.2149999999999999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A-4D90-8F3A-8BEDCD63BEE8}"/>
            </c:ext>
          </c:extLst>
        </c:ser>
        <c:ser>
          <c:idx val="1"/>
          <c:order val="1"/>
          <c:tx>
            <c:strRef>
              <c:f>Admicom!$A$5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Admicom!$B$2:$E$3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Admicom!$B$5:$E$5</c:f>
              <c:numCache>
                <c:formatCode>#\ ##0.0_ ;[Red]\-#\ ##0.0\ </c:formatCode>
                <c:ptCount val="4"/>
                <c:pt idx="0">
                  <c:v>10.399999999999999</c:v>
                </c:pt>
                <c:pt idx="1">
                  <c:v>2.4</c:v>
                </c:pt>
                <c:pt idx="2">
                  <c:v>9.8000000000000007</c:v>
                </c:pt>
                <c:pt idx="3">
                  <c:v>2.6251749999999987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A-4D90-8F3A-8BEDCD63B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Admicom!$A$6</c:f>
              <c:strCache>
                <c:ptCount val="1"/>
                <c:pt idx="0">
                  <c:v>EBITDA%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Admicom!$B$2:$E$3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Admicom!$B$6:$E$6</c:f>
              <c:numCache>
                <c:formatCode>0.0\ %</c:formatCode>
                <c:ptCount val="4"/>
                <c:pt idx="0">
                  <c:v>0.39846743295019149</c:v>
                </c:pt>
                <c:pt idx="1">
                  <c:v>0.29268292682926833</c:v>
                </c:pt>
                <c:pt idx="2">
                  <c:v>0.36567164179104478</c:v>
                </c:pt>
                <c:pt idx="3">
                  <c:v>0.28488062940857284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3A-4D90-8F3A-8BEDCD63B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Alphabet!$A$1</c:f>
          <c:strCache>
            <c:ptCount val="1"/>
            <c:pt idx="0">
              <c:v>ALPHABET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Alphabet!$A$4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Alphabet!$B$2:$E$3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Alphabet!$B$4:$E$4</c:f>
              <c:numCache>
                <c:formatCode>#\ ##0.0_ ;[Red]\-#\ ##0.0\ </c:formatCode>
                <c:ptCount val="4"/>
                <c:pt idx="0">
                  <c:v>221084</c:v>
                </c:pt>
                <c:pt idx="1">
                  <c:v>86310</c:v>
                </c:pt>
                <c:pt idx="2">
                  <c:v>253549</c:v>
                </c:pt>
                <c:pt idx="3">
                  <c:v>93575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B-41C4-B09F-F98E18E5A0BA}"/>
            </c:ext>
          </c:extLst>
        </c:ser>
        <c:ser>
          <c:idx val="1"/>
          <c:order val="1"/>
          <c:tx>
            <c:strRef>
              <c:f>Alphabet!$A$5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Alphabet!$B$2:$E$3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Alphabet!$B$5:$E$5</c:f>
              <c:numCache>
                <c:formatCode>#\ ##0.0_ ;[Red]\-#\ ##0.0\ </c:formatCode>
                <c:ptCount val="4"/>
                <c:pt idx="0">
                  <c:v>60698</c:v>
                </c:pt>
                <c:pt idx="1">
                  <c:v>24900</c:v>
                </c:pt>
                <c:pt idx="2">
                  <c:v>81418</c:v>
                </c:pt>
                <c:pt idx="3">
                  <c:v>27231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7B-41C4-B09F-F98E18E5A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Alphabet!$A$6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Alphabet!$B$2:$E$3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Alphabet!$B$6:$E$6</c:f>
              <c:numCache>
                <c:formatCode>0.0\ %</c:formatCode>
                <c:ptCount val="4"/>
                <c:pt idx="0">
                  <c:v>0.27454723091675565</c:v>
                </c:pt>
                <c:pt idx="1">
                  <c:v>0.28849496002780672</c:v>
                </c:pt>
                <c:pt idx="2">
                  <c:v>0.32111347313537031</c:v>
                </c:pt>
                <c:pt idx="3">
                  <c:v>0.29100721346513492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7B-41C4-B09F-F98E18E5A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Amazon!$A$1</c:f>
          <c:strCache>
            <c:ptCount val="1"/>
            <c:pt idx="0">
              <c:v>AMAZON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Amazon!$A$4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Amazon!$B$2:$E$3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Amazon!$B$4:$E$4</c:f>
              <c:numCache>
                <c:formatCode>#\ ##0.0_ ;[Red]\-#\ ##0.0\ </c:formatCode>
                <c:ptCount val="4"/>
                <c:pt idx="0">
                  <c:v>404824</c:v>
                </c:pt>
                <c:pt idx="1">
                  <c:v>169961</c:v>
                </c:pt>
                <c:pt idx="2">
                  <c:v>450127</c:v>
                </c:pt>
                <c:pt idx="3">
                  <c:v>185000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15-4EC5-8036-8D765BBAEB72}"/>
            </c:ext>
          </c:extLst>
        </c:ser>
        <c:ser>
          <c:idx val="1"/>
          <c:order val="1"/>
          <c:tx>
            <c:strRef>
              <c:f>Amazon!$A$5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Amazon!$B$2:$E$3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Amazon!$B$5:$E$5</c:f>
              <c:numCache>
                <c:formatCode>#\ ##0.0_ ;[Red]\-#\ ##0.0\ </c:formatCode>
                <c:ptCount val="4"/>
                <c:pt idx="0">
                  <c:v>23643</c:v>
                </c:pt>
                <c:pt idx="1">
                  <c:v>13200</c:v>
                </c:pt>
                <c:pt idx="2">
                  <c:v>47390</c:v>
                </c:pt>
                <c:pt idx="3">
                  <c:v>18000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15-4EC5-8036-8D765BBAE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Amazon!$A$6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Amazon!$B$2:$E$3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Amazon!$B$6:$E$6</c:f>
              <c:numCache>
                <c:formatCode>0.0\ %</c:formatCode>
                <c:ptCount val="4"/>
                <c:pt idx="0">
                  <c:v>5.8403157915538607E-2</c:v>
                </c:pt>
                <c:pt idx="1">
                  <c:v>7.7664876059801949E-2</c:v>
                </c:pt>
                <c:pt idx="2">
                  <c:v>0.10528139836090704</c:v>
                </c:pt>
                <c:pt idx="3">
                  <c:v>9.7297297297297303E-2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15-4EC5-8036-8D765BBAE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Apple!$A$1</c:f>
          <c:strCache>
            <c:ptCount val="1"/>
            <c:pt idx="0">
              <c:v>APPLE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Apple!$A$4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Apple!$B$2:$E$3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Apple!$B$4:$E$4</c:f>
              <c:numCache>
                <c:formatCode>#\ ##0.0_ ;[Red]\-#\ ##0.0\ </c:formatCode>
                <c:ptCount val="4"/>
                <c:pt idx="0">
                  <c:v>266131</c:v>
                </c:pt>
                <c:pt idx="1">
                  <c:v>119575</c:v>
                </c:pt>
                <c:pt idx="2">
                  <c:v>271460</c:v>
                </c:pt>
                <c:pt idx="3">
                  <c:v>119078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2-48DC-AE27-16B26EF9B9F1}"/>
            </c:ext>
          </c:extLst>
        </c:ser>
        <c:ser>
          <c:idx val="1"/>
          <c:order val="1"/>
          <c:tx>
            <c:strRef>
              <c:f>Apple!$A$5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Apple!$B$2:$E$3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Apple!$B$5:$E$5</c:f>
              <c:numCache>
                <c:formatCode>#\ ##0.0_ ;[Red]\-#\ ##0.0\ </c:formatCode>
                <c:ptCount val="4"/>
                <c:pt idx="0">
                  <c:v>78285</c:v>
                </c:pt>
                <c:pt idx="1">
                  <c:v>40373</c:v>
                </c:pt>
                <c:pt idx="2">
                  <c:v>82843</c:v>
                </c:pt>
                <c:pt idx="3">
                  <c:v>39920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82-48DC-AE27-16B26EF9B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Apple!$A$6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Apple!$B$2:$E$3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Apple!$B$6:$E$6</c:f>
              <c:numCache>
                <c:formatCode>0.0\ %</c:formatCode>
                <c:ptCount val="4"/>
                <c:pt idx="0">
                  <c:v>0.29415964318324433</c:v>
                </c:pt>
                <c:pt idx="1">
                  <c:v>0.33763746602550698</c:v>
                </c:pt>
                <c:pt idx="2">
                  <c:v>0.30517571649598468</c:v>
                </c:pt>
                <c:pt idx="3">
                  <c:v>0.33524244612774817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82-48DC-AE27-16B26EF9B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AssaAbloy!$A$1</c:f>
          <c:strCache>
            <c:ptCount val="1"/>
            <c:pt idx="0">
              <c:v>ASSA ABLOY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AssaAbloy!$A$4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AssaAbloy!$B$2:$E$3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AssaAbloy!$B$4:$E$4</c:f>
              <c:numCache>
                <c:formatCode>#\ ##0.0_ ;[Red]\-#\ ##0.0\ </c:formatCode>
                <c:ptCount val="4"/>
                <c:pt idx="0">
                  <c:v>103756</c:v>
                </c:pt>
                <c:pt idx="1">
                  <c:v>36970</c:v>
                </c:pt>
                <c:pt idx="2">
                  <c:v>110586</c:v>
                </c:pt>
                <c:pt idx="3">
                  <c:v>38906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F-4868-A5F8-D1BD971CED12}"/>
            </c:ext>
          </c:extLst>
        </c:ser>
        <c:ser>
          <c:idx val="1"/>
          <c:order val="1"/>
          <c:tx>
            <c:strRef>
              <c:f>AssaAbloy!$A$5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AssaAbloy!$B$2:$E$3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AssaAbloy!$B$5:$E$5</c:f>
              <c:numCache>
                <c:formatCode>#\ ##0.0_ ;[Red]\-#\ ##0.0\ </c:formatCode>
                <c:ptCount val="4"/>
                <c:pt idx="0">
                  <c:v>14848</c:v>
                </c:pt>
                <c:pt idx="1">
                  <c:v>6592</c:v>
                </c:pt>
                <c:pt idx="2">
                  <c:v>17767</c:v>
                </c:pt>
                <c:pt idx="3">
                  <c:v>6227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DF-4868-A5F8-D1BD971CE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AssaAbloy!$A$6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AssaAbloy!$B$2:$E$3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AssaAbloy!$B$6:$E$6</c:f>
              <c:numCache>
                <c:formatCode>0.0\ %</c:formatCode>
                <c:ptCount val="4"/>
                <c:pt idx="0">
                  <c:v>0.14310497706156752</c:v>
                </c:pt>
                <c:pt idx="1">
                  <c:v>0.17830673519069515</c:v>
                </c:pt>
                <c:pt idx="2">
                  <c:v>0.1606622899824571</c:v>
                </c:pt>
                <c:pt idx="3">
                  <c:v>0.16005243407186553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DF-4868-A5F8-D1BD971CE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AtlasCopco!$A$1</c:f>
          <c:strCache>
            <c:ptCount val="1"/>
            <c:pt idx="0">
              <c:v>ATLAS COPCO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AtlasCopco!$A$4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AtlasCopco!$B$2:$E$3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AtlasCopco!$B$4:$E$4</c:f>
              <c:numCache>
                <c:formatCode>#\ ##0.0_ ;[Red]\-#\ ##0.0\ </c:formatCode>
                <c:ptCount val="4"/>
                <c:pt idx="0">
                  <c:v>127710</c:v>
                </c:pt>
                <c:pt idx="1">
                  <c:v>44954</c:v>
                </c:pt>
                <c:pt idx="2">
                  <c:v>130783</c:v>
                </c:pt>
                <c:pt idx="3">
                  <c:v>47265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7-4662-90BA-73AC8E683C11}"/>
            </c:ext>
          </c:extLst>
        </c:ser>
        <c:ser>
          <c:idx val="1"/>
          <c:order val="1"/>
          <c:tx>
            <c:strRef>
              <c:f>AtlasCopco!$A$5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AtlasCopco!$B$2:$E$3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AtlasCopco!$B$5:$E$5</c:f>
              <c:numCache>
                <c:formatCode>#\ ##0.0_ ;[Red]\-#\ ##0.0\ </c:formatCode>
                <c:ptCount val="4"/>
                <c:pt idx="0">
                  <c:v>28005</c:v>
                </c:pt>
                <c:pt idx="1">
                  <c:v>9956</c:v>
                </c:pt>
                <c:pt idx="2">
                  <c:v>28148</c:v>
                </c:pt>
                <c:pt idx="3">
                  <c:v>11103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7-4662-90BA-73AC8E683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AtlasCopco!$A$6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AtlasCopco!$B$2:$E$3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AtlasCopco!$B$6:$E$6</c:f>
              <c:numCache>
                <c:formatCode>0.0\ %</c:formatCode>
                <c:ptCount val="4"/>
                <c:pt idx="0">
                  <c:v>0.21928588207657976</c:v>
                </c:pt>
                <c:pt idx="1">
                  <c:v>0.22147083685545224</c:v>
                </c:pt>
                <c:pt idx="2">
                  <c:v>0.21522674965400701</c:v>
                </c:pt>
                <c:pt idx="3">
                  <c:v>0.23490955252300857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27-4662-90BA-73AC8E683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Booking!$A$1</c:f>
          <c:strCache>
            <c:ptCount val="1"/>
            <c:pt idx="0">
              <c:v>BOOKING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Booking!$A$4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Booking!$B$2:$E$3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Booking!$B$4:$E$4</c:f>
              <c:numCache>
                <c:formatCode>#\ ##0.0_ ;[Red]\-#\ ##0.0\ </c:formatCode>
                <c:ptCount val="4"/>
                <c:pt idx="0">
                  <c:v>9240</c:v>
                </c:pt>
                <c:pt idx="1">
                  <c:v>12125</c:v>
                </c:pt>
                <c:pt idx="2">
                  <c:v>18268</c:v>
                </c:pt>
                <c:pt idx="3">
                  <c:v>4747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5-405B-A990-A12BA190F325}"/>
            </c:ext>
          </c:extLst>
        </c:ser>
        <c:ser>
          <c:idx val="1"/>
          <c:order val="1"/>
          <c:tx>
            <c:strRef>
              <c:f>Booking!$A$5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Booking!$B$2:$E$3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Booking!$B$5:$E$5</c:f>
              <c:numCache>
                <c:formatCode>#\ ##0.0_ ;[Red]\-#\ ##0.0\ </c:formatCode>
                <c:ptCount val="4"/>
                <c:pt idx="0">
                  <c:v>2123</c:v>
                </c:pt>
                <c:pt idx="1">
                  <c:v>3712</c:v>
                </c:pt>
                <c:pt idx="2">
                  <c:v>5826</c:v>
                </c:pt>
                <c:pt idx="3">
                  <c:v>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F5-405B-A990-A12BA190F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Booking!$A$6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Booking!$B$2:$E$3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Booking!$B$6:$E$6</c:f>
              <c:numCache>
                <c:formatCode>0.0\ %</c:formatCode>
                <c:ptCount val="4"/>
                <c:pt idx="0">
                  <c:v>0.22976190476190475</c:v>
                </c:pt>
                <c:pt idx="1">
                  <c:v>0.30614432989690721</c:v>
                </c:pt>
                <c:pt idx="2">
                  <c:v>0.3189183271294066</c:v>
                </c:pt>
                <c:pt idx="3">
                  <c:v>0.31261849589214241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F5-405B-A990-A12BA190F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Capman!$A$1</c:f>
          <c:strCache>
            <c:ptCount val="1"/>
            <c:pt idx="0">
              <c:v>CAPMAN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Capman!$A$4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Capman!$B$2:$E$3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Capman!$B$4:$E$4</c:f>
              <c:numCache>
                <c:formatCode>#\ ##0.0_ ;[Red]\-#\ ##0.0\ </c:formatCode>
                <c:ptCount val="4"/>
                <c:pt idx="0">
                  <c:v>45.3</c:v>
                </c:pt>
                <c:pt idx="1">
                  <c:v>14.100000000000001</c:v>
                </c:pt>
                <c:pt idx="2">
                  <c:v>43.7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4-4826-AB42-DB6EC9CAE905}"/>
            </c:ext>
          </c:extLst>
        </c:ser>
        <c:ser>
          <c:idx val="1"/>
          <c:order val="1"/>
          <c:tx>
            <c:strRef>
              <c:f>Capman!$A$5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Capman!$B$2:$E$3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Capman!$B$5:$E$5</c:f>
              <c:numCache>
                <c:formatCode>#\ ##0.0_ ;[Red]\-#\ ##0.0\ </c:formatCode>
                <c:ptCount val="4"/>
                <c:pt idx="0">
                  <c:v>9.5</c:v>
                </c:pt>
                <c:pt idx="1">
                  <c:v>-4.8</c:v>
                </c:pt>
                <c:pt idx="2">
                  <c:v>11.1</c:v>
                </c:pt>
                <c:pt idx="3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44-4826-AB42-DB6EC9CAE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Capman!$A$6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Capman!$B$2:$E$3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Capman!$B$6:$E$6</c:f>
              <c:numCache>
                <c:formatCode>0.0\ %</c:formatCode>
                <c:ptCount val="4"/>
                <c:pt idx="0">
                  <c:v>0.20971302428256072</c:v>
                </c:pt>
                <c:pt idx="1">
                  <c:v>-0.34042553191489355</c:v>
                </c:pt>
                <c:pt idx="2">
                  <c:v>0.25400457665903886</c:v>
                </c:pt>
                <c:pt idx="3">
                  <c:v>0.50555555555555554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44-4826-AB42-DB6EC9CAE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Digia!$A$1</c:f>
          <c:strCache>
            <c:ptCount val="1"/>
            <c:pt idx="0">
              <c:v>DIGIA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Digia!$A$4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Digia!$B$2:$E$3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Digia!$B$4:$E$4</c:f>
              <c:numCache>
                <c:formatCode>#\ ##0.0_ ;[Red]\-#\ ##0.0\ </c:formatCode>
                <c:ptCount val="4"/>
                <c:pt idx="0">
                  <c:v>138.9</c:v>
                </c:pt>
                <c:pt idx="1">
                  <c:v>53.2</c:v>
                </c:pt>
                <c:pt idx="2">
                  <c:v>151.1</c:v>
                </c:pt>
                <c:pt idx="3">
                  <c:v>60.210000000000008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5-4B6F-99E1-2DAE41A8AFD4}"/>
            </c:ext>
          </c:extLst>
        </c:ser>
        <c:ser>
          <c:idx val="1"/>
          <c:order val="1"/>
          <c:tx>
            <c:strRef>
              <c:f>Digia!$A$5</c:f>
              <c:strCache>
                <c:ptCount val="1"/>
                <c:pt idx="0">
                  <c:v>EBITA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Digia!$B$2:$E$3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Digia!$B$5:$E$5</c:f>
              <c:numCache>
                <c:formatCode>#\ ##0.0_ ;[Red]\-#\ ##0.0\ </c:formatCode>
                <c:ptCount val="4"/>
                <c:pt idx="0">
                  <c:v>11.7</c:v>
                </c:pt>
                <c:pt idx="1">
                  <c:v>5.0999999999999996</c:v>
                </c:pt>
                <c:pt idx="2">
                  <c:v>15.3</c:v>
                </c:pt>
                <c:pt idx="3">
                  <c:v>3.1800000000000033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5-4B6F-99E1-2DAE41A8A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Digia!$A$6</c:f>
              <c:strCache>
                <c:ptCount val="1"/>
                <c:pt idx="0">
                  <c:v>EBITA%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Digia!$B$2:$E$3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Digia!$B$6:$E$6</c:f>
              <c:numCache>
                <c:formatCode>0.0\ %</c:formatCode>
                <c:ptCount val="4"/>
                <c:pt idx="0">
                  <c:v>8.4233261339092869E-2</c:v>
                </c:pt>
                <c:pt idx="1">
                  <c:v>9.5864661654135333E-2</c:v>
                </c:pt>
                <c:pt idx="2">
                  <c:v>0.10125744540039709</c:v>
                </c:pt>
                <c:pt idx="3">
                  <c:v>5.2815146985550621E-2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F5-4B6F-99E1-2DAE41A8A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Epiroc!$A$1</c:f>
          <c:strCache>
            <c:ptCount val="1"/>
            <c:pt idx="0">
              <c:v>EPIROC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Epiroc!$A$4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Epiroc!$B$2:$E$3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Epiroc!$B$4:$E$4</c:f>
              <c:numCache>
                <c:formatCode>#\ ##0.0_ ;[Red]\-#\ ##0.0\ </c:formatCode>
                <c:ptCount val="4"/>
                <c:pt idx="0">
                  <c:v>44775</c:v>
                </c:pt>
                <c:pt idx="1">
                  <c:v>15568</c:v>
                </c:pt>
                <c:pt idx="2">
                  <c:v>46353</c:v>
                </c:pt>
                <c:pt idx="3">
                  <c:v>16826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C-48E9-9528-7F7C2F4D63E5}"/>
            </c:ext>
          </c:extLst>
        </c:ser>
        <c:ser>
          <c:idx val="1"/>
          <c:order val="1"/>
          <c:tx>
            <c:strRef>
              <c:f>Epiroc!$A$5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Epiroc!$B$2:$E$3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Epiroc!$B$5:$E$5</c:f>
              <c:numCache>
                <c:formatCode>#\ ##0.0_ ;[Red]\-#\ ##0.0\ </c:formatCode>
                <c:ptCount val="4"/>
                <c:pt idx="0">
                  <c:v>9888</c:v>
                </c:pt>
                <c:pt idx="1">
                  <c:v>3229</c:v>
                </c:pt>
                <c:pt idx="2">
                  <c:v>8958</c:v>
                </c:pt>
                <c:pt idx="3">
                  <c:v>3754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7C-48E9-9528-7F7C2F4D6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Epiroc!$A$6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Epiroc!$B$2:$E$3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Epiroc!$B$6:$E$6</c:f>
              <c:numCache>
                <c:formatCode>0.0\ %</c:formatCode>
                <c:ptCount val="4"/>
                <c:pt idx="0">
                  <c:v>0.22083752093802345</c:v>
                </c:pt>
                <c:pt idx="1">
                  <c:v>0.20741264131551901</c:v>
                </c:pt>
                <c:pt idx="2">
                  <c:v>0.19325609992880718</c:v>
                </c:pt>
                <c:pt idx="3">
                  <c:v>0.22310709616070368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7C-48E9-9528-7F7C2F4D6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Etteplan!$A$1</c:f>
          <c:strCache>
            <c:ptCount val="1"/>
            <c:pt idx="0">
              <c:v>ETTEPLAN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Etteplan!$A$4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Etteplan!$B$2:$E$3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Etteplan!$B$4:$E$4</c:f>
              <c:numCache>
                <c:formatCode>#\ ##0.0_ ;[Red]\-#\ ##0.0\ </c:formatCode>
                <c:ptCount val="4"/>
                <c:pt idx="0">
                  <c:v>264.89999999999998</c:v>
                </c:pt>
                <c:pt idx="1">
                  <c:v>95.100000000000023</c:v>
                </c:pt>
                <c:pt idx="2">
                  <c:v>269.7</c:v>
                </c:pt>
                <c:pt idx="3">
                  <c:v>92.800000000000011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C-4B34-ABC8-CF8262F9D6CF}"/>
            </c:ext>
          </c:extLst>
        </c:ser>
        <c:ser>
          <c:idx val="1"/>
          <c:order val="1"/>
          <c:tx>
            <c:strRef>
              <c:f>Etteplan!$A$5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Etteplan!$B$2:$E$3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Etteplan!$B$5:$E$5</c:f>
              <c:numCache>
                <c:formatCode>#\ ##0.0_ ;[Red]\-#\ ##0.0\ </c:formatCode>
                <c:ptCount val="4"/>
                <c:pt idx="0">
                  <c:v>17.399999999999999</c:v>
                </c:pt>
                <c:pt idx="1">
                  <c:v>8.1000000000000014</c:v>
                </c:pt>
                <c:pt idx="2">
                  <c:v>13.5</c:v>
                </c:pt>
                <c:pt idx="3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8C-4B34-ABC8-CF8262F9D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9844992"/>
        <c:axId val="2079864672"/>
      </c:barChart>
      <c:lineChart>
        <c:grouping val="standard"/>
        <c:varyColors val="0"/>
        <c:ser>
          <c:idx val="2"/>
          <c:order val="2"/>
          <c:tx>
            <c:strRef>
              <c:f>Etteplan!$A$6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Etteplan!$B$2:$E$3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Etteplan!$B$6:$E$6</c:f>
              <c:numCache>
                <c:formatCode>0.0\ %</c:formatCode>
                <c:ptCount val="4"/>
                <c:pt idx="0">
                  <c:v>6.5685164212910527E-2</c:v>
                </c:pt>
                <c:pt idx="1">
                  <c:v>8.5173501577287064E-2</c:v>
                </c:pt>
                <c:pt idx="2">
                  <c:v>5.0055617352614018E-2</c:v>
                </c:pt>
                <c:pt idx="3">
                  <c:v>7.0043103448275856E-2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8C-4B34-ABC8-CF8262F9D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864192"/>
        <c:axId val="2079859392"/>
      </c:lineChart>
      <c:catAx>
        <c:axId val="2079844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079864672"/>
        <c:crosses val="autoZero"/>
        <c:auto val="1"/>
        <c:lblAlgn val="ctr"/>
        <c:lblOffset val="100"/>
        <c:noMultiLvlLbl val="0"/>
      </c:catAx>
      <c:valAx>
        <c:axId val="207986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079844992"/>
        <c:crosses val="autoZero"/>
        <c:crossBetween val="between"/>
      </c:valAx>
      <c:valAx>
        <c:axId val="20798593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079864192"/>
        <c:crosses val="max"/>
        <c:crossBetween val="between"/>
      </c:valAx>
      <c:catAx>
        <c:axId val="2079864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79859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Fiskars!$A$1</c:f>
          <c:strCache>
            <c:ptCount val="1"/>
            <c:pt idx="0">
              <c:v>FISKARS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Fiskars!$A$4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Fiskars!$B$2:$E$3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Fiskars!$B$4:$E$4</c:f>
              <c:numCache>
                <c:formatCode>#\ ##0.0_ ;[Red]\-#\ ##0.0\ </c:formatCode>
                <c:ptCount val="4"/>
                <c:pt idx="0">
                  <c:v>784</c:v>
                </c:pt>
                <c:pt idx="1">
                  <c:v>346</c:v>
                </c:pt>
                <c:pt idx="2">
                  <c:v>819.9</c:v>
                </c:pt>
                <c:pt idx="3">
                  <c:v>389.20000000000016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E-4CC7-A15A-7DDE4E28C08F}"/>
            </c:ext>
          </c:extLst>
        </c:ser>
        <c:ser>
          <c:idx val="1"/>
          <c:order val="1"/>
          <c:tx>
            <c:strRef>
              <c:f>Fiskars!$A$5</c:f>
              <c:strCache>
                <c:ptCount val="1"/>
                <c:pt idx="0">
                  <c:v>EBIT adjusted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Fiskars!$B$2:$E$3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Fiskars!$B$5:$E$5</c:f>
              <c:numCache>
                <c:formatCode>#\ ##0.0_ ;[Red]\-#\ ##0.0\ </c:formatCode>
                <c:ptCount val="4"/>
                <c:pt idx="0">
                  <c:v>64.900000000000006</c:v>
                </c:pt>
                <c:pt idx="1">
                  <c:v>34</c:v>
                </c:pt>
                <c:pt idx="2">
                  <c:v>68.5</c:v>
                </c:pt>
                <c:pt idx="3">
                  <c:v>47.314999999999998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E-4CC7-A15A-7DDE4E28C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Fiskars!$A$6</c:f>
              <c:strCache>
                <c:ptCount val="1"/>
                <c:pt idx="0">
                  <c:v>EBIT%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Fiskars!$B$2:$E$3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Fiskars!$B$6:$E$6</c:f>
              <c:numCache>
                <c:formatCode>0.0\ %</c:formatCode>
                <c:ptCount val="4"/>
                <c:pt idx="0">
                  <c:v>8.2780612244897966E-2</c:v>
                </c:pt>
                <c:pt idx="1">
                  <c:v>9.8265895953757232E-2</c:v>
                </c:pt>
                <c:pt idx="2">
                  <c:v>8.3546773996828888E-2</c:v>
                </c:pt>
                <c:pt idx="3">
                  <c:v>0.12156988694758473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5E-4CC7-A15A-7DDE4E28C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Kamux!$A$1</c:f>
          <c:strCache>
            <c:ptCount val="1"/>
            <c:pt idx="0">
              <c:v>KAMUX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Kamux!$A$4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Kamux!$B$2:$E$3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Kamux!$B$4:$E$4</c:f>
              <c:numCache>
                <c:formatCode>#\ ##0.0_ ;[Red]\-#\ ##0.0\ </c:formatCode>
                <c:ptCount val="4"/>
                <c:pt idx="0">
                  <c:v>760.5</c:v>
                </c:pt>
                <c:pt idx="1">
                  <c:v>241.6</c:v>
                </c:pt>
                <c:pt idx="2">
                  <c:v>773.5</c:v>
                </c:pt>
                <c:pt idx="3">
                  <c:v>248.53999999999996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0-461F-89D7-7A1E082D0A0F}"/>
            </c:ext>
          </c:extLst>
        </c:ser>
        <c:ser>
          <c:idx val="1"/>
          <c:order val="1"/>
          <c:tx>
            <c:strRef>
              <c:f>Kamux!$A$5</c:f>
              <c:strCache>
                <c:ptCount val="1"/>
                <c:pt idx="0">
                  <c:v>EBIT adjusted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Kamux!$B$2:$E$3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Kamux!$B$5:$E$5</c:f>
              <c:numCache>
                <c:formatCode>#\ ##0.0_ ;[Red]\-#\ ##0.0\ </c:formatCode>
                <c:ptCount val="4"/>
                <c:pt idx="0">
                  <c:v>12.5</c:v>
                </c:pt>
                <c:pt idx="1">
                  <c:v>5.5</c:v>
                </c:pt>
                <c:pt idx="2">
                  <c:v>10.9</c:v>
                </c:pt>
                <c:pt idx="3">
                  <c:v>1.0999999999999996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0-461F-89D7-7A1E082D0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Kamux!$A$6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Kamux!$B$2:$E$3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Kamux!$B$6:$E$6</c:f>
              <c:numCache>
                <c:formatCode>0.0\ %</c:formatCode>
                <c:ptCount val="4"/>
                <c:pt idx="0">
                  <c:v>1.6436554898093359E-2</c:v>
                </c:pt>
                <c:pt idx="1">
                  <c:v>2.2764900662251657E-2</c:v>
                </c:pt>
                <c:pt idx="2">
                  <c:v>1.4091790562378798E-2</c:v>
                </c:pt>
                <c:pt idx="3">
                  <c:v>4.4258469461656066E-3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00-461F-89D7-7A1E082D0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Kemira!$A$1</c:f>
          <c:strCache>
            <c:ptCount val="1"/>
            <c:pt idx="0">
              <c:v>KEMIRA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Kemira!$A$4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Kemira!$B$2:$E$3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Kemira!$B$4:$E$4</c:f>
              <c:numCache>
                <c:formatCode>#\ ##0.0_ ;[Red]\-#\ ##0.0\ </c:formatCode>
                <c:ptCount val="4"/>
                <c:pt idx="0">
                  <c:v>2575</c:v>
                </c:pt>
                <c:pt idx="1">
                  <c:v>809</c:v>
                </c:pt>
                <c:pt idx="2">
                  <c:v>2224</c:v>
                </c:pt>
                <c:pt idx="3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4-422C-9E7B-B9B180C89003}"/>
            </c:ext>
          </c:extLst>
        </c:ser>
        <c:ser>
          <c:idx val="1"/>
          <c:order val="1"/>
          <c:tx>
            <c:strRef>
              <c:f>Kemira!$A$5</c:f>
              <c:strCache>
                <c:ptCount val="1"/>
                <c:pt idx="0">
                  <c:v>EBITDA adjusted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Kemira!$B$2:$E$3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Kemira!$B$5:$E$5</c:f>
              <c:numCache>
                <c:formatCode>#\ ##0.0_ ;[Red]\-#\ ##0.0\ </c:formatCode>
                <c:ptCount val="4"/>
                <c:pt idx="0">
                  <c:v>504</c:v>
                </c:pt>
                <c:pt idx="1">
                  <c:v>163</c:v>
                </c:pt>
                <c:pt idx="2">
                  <c:v>450.4</c:v>
                </c:pt>
                <c:pt idx="3">
                  <c:v>139.60000000000002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4-422C-9E7B-B9B180C89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Kemira!$A$6</c:f>
              <c:strCache>
                <c:ptCount val="1"/>
                <c:pt idx="0">
                  <c:v>EBITDA%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Kemira!$B$2:$E$3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Kemira!$B$6:$E$6</c:f>
              <c:numCache>
                <c:formatCode>0.0\ %</c:formatCode>
                <c:ptCount val="4"/>
                <c:pt idx="0">
                  <c:v>0.19572815533980584</c:v>
                </c:pt>
                <c:pt idx="1">
                  <c:v>0.20148331273176762</c:v>
                </c:pt>
                <c:pt idx="2">
                  <c:v>0.20251798561151077</c:v>
                </c:pt>
                <c:pt idx="3">
                  <c:v>0.17989690721649487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34-422C-9E7B-B9B180C89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Kempower!$A$1</c:f>
          <c:strCache>
            <c:ptCount val="1"/>
            <c:pt idx="0">
              <c:v>KEMPOWER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Kempower!$A$4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Kempower!$B$2:$E$3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Kempower!$B$4:$E$4</c:f>
              <c:numCache>
                <c:formatCode>#\ ##0.0_ ;[Red]\-#\ ##0.0\ </c:formatCode>
                <c:ptCount val="4"/>
                <c:pt idx="0">
                  <c:v>205.70000000000002</c:v>
                </c:pt>
                <c:pt idx="1">
                  <c:v>77.5</c:v>
                </c:pt>
                <c:pt idx="2">
                  <c:v>152</c:v>
                </c:pt>
                <c:pt idx="3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7-4A63-B307-490D3A5FE231}"/>
            </c:ext>
          </c:extLst>
        </c:ser>
        <c:ser>
          <c:idx val="1"/>
          <c:order val="1"/>
          <c:tx>
            <c:strRef>
              <c:f>Kempower!$A$5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Kempower!$B$2:$E$3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Kempower!$B$5:$E$5</c:f>
              <c:numCache>
                <c:formatCode>#\ ##0.0_ ;[Red]\-#\ ##0.0\ </c:formatCode>
                <c:ptCount val="4"/>
                <c:pt idx="0">
                  <c:v>30.750000000000004</c:v>
                </c:pt>
                <c:pt idx="1">
                  <c:v>10</c:v>
                </c:pt>
                <c:pt idx="2">
                  <c:v>-29.5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7-4A63-B307-490D3A5FE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116159"/>
        <c:axId val="637099839"/>
      </c:barChart>
      <c:lineChart>
        <c:grouping val="standard"/>
        <c:varyColors val="0"/>
        <c:ser>
          <c:idx val="2"/>
          <c:order val="2"/>
          <c:tx>
            <c:strRef>
              <c:f>Kempower!$A$6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Kempower!$B$2:$E$3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Kempower!$B$6:$E$6</c:f>
              <c:numCache>
                <c:formatCode>0.0\ %</c:formatCode>
                <c:ptCount val="4"/>
                <c:pt idx="0">
                  <c:v>0.1494895478852698</c:v>
                </c:pt>
                <c:pt idx="1">
                  <c:v>0.12903225806451613</c:v>
                </c:pt>
                <c:pt idx="2">
                  <c:v>-0.19407894736842105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C7-4A63-B307-490D3A5FE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87359"/>
        <c:axId val="637095519"/>
      </c:lineChart>
      <c:catAx>
        <c:axId val="6371161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9839"/>
        <c:crosses val="autoZero"/>
        <c:auto val="1"/>
        <c:lblAlgn val="ctr"/>
        <c:lblOffset val="100"/>
        <c:noMultiLvlLbl val="0"/>
      </c:catAx>
      <c:valAx>
        <c:axId val="637099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16159"/>
        <c:crosses val="autoZero"/>
        <c:crossBetween val="between"/>
      </c:valAx>
      <c:valAx>
        <c:axId val="63709551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7359"/>
        <c:crosses val="max"/>
        <c:crossBetween val="between"/>
      </c:valAx>
      <c:catAx>
        <c:axId val="6370873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0955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Kesko!$A$1</c:f>
          <c:strCache>
            <c:ptCount val="1"/>
            <c:pt idx="0">
              <c:v>KESKO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Kesko!$A$4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Kesko!$B$2:$E$3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Kesko!$B$4:$E$4</c:f>
              <c:numCache>
                <c:formatCode>#\ ##0.0_ ;[Red]\-#\ ##0.0\ </c:formatCode>
                <c:ptCount val="4"/>
                <c:pt idx="0">
                  <c:v>8882</c:v>
                </c:pt>
                <c:pt idx="1">
                  <c:v>2902</c:v>
                </c:pt>
                <c:pt idx="2">
                  <c:v>8880</c:v>
                </c:pt>
                <c:pt idx="3">
                  <c:v>3289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2-433A-BCA4-75A6D4D068A9}"/>
            </c:ext>
          </c:extLst>
        </c:ser>
        <c:ser>
          <c:idx val="1"/>
          <c:order val="1"/>
          <c:tx>
            <c:strRef>
              <c:f>Kesko!$A$5</c:f>
              <c:strCache>
                <c:ptCount val="1"/>
                <c:pt idx="0">
                  <c:v>EBIT comparable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Kesko!$B$2:$E$3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Kesko!$B$5:$E$5</c:f>
              <c:numCache>
                <c:formatCode>#\ ##0.0_ ;[Red]\-#\ ##0.0\ </c:formatCode>
                <c:ptCount val="4"/>
                <c:pt idx="0">
                  <c:v>542</c:v>
                </c:pt>
                <c:pt idx="1">
                  <c:v>170</c:v>
                </c:pt>
                <c:pt idx="2">
                  <c:v>479</c:v>
                </c:pt>
                <c:pt idx="3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2-433A-BCA4-75A6D4D06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Kesko!$A$6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Kesko!$B$2:$E$3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Kesko!$B$6:$E$6</c:f>
              <c:numCache>
                <c:formatCode>0.0\ %</c:formatCode>
                <c:ptCount val="4"/>
                <c:pt idx="0">
                  <c:v>6.1022292276514296E-2</c:v>
                </c:pt>
                <c:pt idx="1">
                  <c:v>5.8580289455547899E-2</c:v>
                </c:pt>
                <c:pt idx="2">
                  <c:v>5.3941441441441439E-2</c:v>
                </c:pt>
                <c:pt idx="3">
                  <c:v>5.3511705685618728E-2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A2-433A-BCA4-75A6D4D06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Kone!$A$1</c:f>
          <c:strCache>
            <c:ptCount val="1"/>
            <c:pt idx="0">
              <c:v>KONE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Kone!$A$4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Kone!$B$2:$E$3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Kone!$B$4:$E$4</c:f>
              <c:numCache>
                <c:formatCode>#\ ##0.0_ ;[Red]\-#\ ##0.0\ </c:formatCode>
                <c:ptCount val="4"/>
                <c:pt idx="0">
                  <c:v>8142</c:v>
                </c:pt>
                <c:pt idx="1">
                  <c:v>2810</c:v>
                </c:pt>
                <c:pt idx="2">
                  <c:v>8123</c:v>
                </c:pt>
                <c:pt idx="3">
                  <c:v>3048.0400000000009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7-484D-94F2-27111BE461A7}"/>
            </c:ext>
          </c:extLst>
        </c:ser>
        <c:ser>
          <c:idx val="1"/>
          <c:order val="1"/>
          <c:tx>
            <c:strRef>
              <c:f>Kone!$A$5</c:f>
              <c:strCache>
                <c:ptCount val="1"/>
                <c:pt idx="0">
                  <c:v>EBIT adjusted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Kone!$B$2:$E$3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Kone!$B$5:$E$5</c:f>
              <c:numCache>
                <c:formatCode>#\ ##0.0_ ;[Red]\-#\ ##0.0\ </c:formatCode>
                <c:ptCount val="4"/>
                <c:pt idx="0">
                  <c:v>890</c:v>
                </c:pt>
                <c:pt idx="1">
                  <c:v>362</c:v>
                </c:pt>
                <c:pt idx="2">
                  <c:v>917</c:v>
                </c:pt>
                <c:pt idx="3">
                  <c:v>390.01168000000007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F7-484D-94F2-27111BE46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Kone!$A$6</c:f>
              <c:strCache>
                <c:ptCount val="1"/>
                <c:pt idx="0">
                  <c:v>EBIT%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Kone!$B$2:$E$3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Kone!$B$6:$E$6</c:f>
              <c:numCache>
                <c:formatCode>0.0\ %</c:formatCode>
                <c:ptCount val="4"/>
                <c:pt idx="0">
                  <c:v>0.10930975190370916</c:v>
                </c:pt>
                <c:pt idx="1">
                  <c:v>0.1288256227758007</c:v>
                </c:pt>
                <c:pt idx="2">
                  <c:v>0.11288932660347162</c:v>
                </c:pt>
                <c:pt idx="3">
                  <c:v>0.1279549087282319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F7-484D-94F2-27111BE46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Konecranes!$A$1</c:f>
          <c:strCache>
            <c:ptCount val="1"/>
            <c:pt idx="0">
              <c:v>KONECRANES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Konecranes!$A$4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Konecranes!$B$2:$E$3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Konecranes!$B$4:$E$4</c:f>
              <c:numCache>
                <c:formatCode>#\ ##0.0_ ;[Red]\-#\ ##0.0\ </c:formatCode>
                <c:ptCount val="4"/>
                <c:pt idx="0">
                  <c:v>2817</c:v>
                </c:pt>
                <c:pt idx="1">
                  <c:v>1149</c:v>
                </c:pt>
                <c:pt idx="2">
                  <c:v>3015</c:v>
                </c:pt>
                <c:pt idx="3">
                  <c:v>1347.6000000000004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9-4726-9F4C-4693CA384056}"/>
            </c:ext>
          </c:extLst>
        </c:ser>
        <c:ser>
          <c:idx val="1"/>
          <c:order val="1"/>
          <c:tx>
            <c:strRef>
              <c:f>Konecranes!$A$5</c:f>
              <c:strCache>
                <c:ptCount val="1"/>
                <c:pt idx="0">
                  <c:v>EBIT adjusted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Konecranes!$B$2:$E$3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Konecranes!$B$5:$E$5</c:f>
              <c:numCache>
                <c:formatCode>#\ ##0.0_ ;[Red]\-#\ ##0.0\ </c:formatCode>
                <c:ptCount val="4"/>
                <c:pt idx="0">
                  <c:v>294</c:v>
                </c:pt>
                <c:pt idx="1">
                  <c:v>122</c:v>
                </c:pt>
                <c:pt idx="2">
                  <c:v>369</c:v>
                </c:pt>
                <c:pt idx="3">
                  <c:v>167.59980000000007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9-4726-9F4C-4693CA384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Konecranes!$A$6</c:f>
              <c:strCache>
                <c:ptCount val="1"/>
                <c:pt idx="0">
                  <c:v>EBIT%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Konecranes!$B$2:$E$3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Konecranes!$B$6:$E$6</c:f>
              <c:numCache>
                <c:formatCode>0.0\ %</c:formatCode>
                <c:ptCount val="4"/>
                <c:pt idx="0">
                  <c:v>0.10436634717784878</c:v>
                </c:pt>
                <c:pt idx="1">
                  <c:v>0.1061792863359443</c:v>
                </c:pt>
                <c:pt idx="2">
                  <c:v>0.12238805970149254</c:v>
                </c:pt>
                <c:pt idx="3">
                  <c:v>0.12436910062333038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09-4726-9F4C-4693CA384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Koskisen!$A$1</c:f>
          <c:strCache>
            <c:ptCount val="1"/>
            <c:pt idx="0">
              <c:v>KOSKISEN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Koskisen!$A$4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Koskisen!$B$2:$E$3</c15:sqref>
                  </c15:fullRef>
                </c:ext>
              </c:extLst>
              <c:f>Koskisen!$B$2:$E$3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Koskisen!$B$4:$E$4</c15:sqref>
                  </c15:fullRef>
                </c:ext>
              </c:extLst>
              <c:f>Koskisen!$B$4:$E$4</c:f>
              <c:numCache>
                <c:formatCode>#\ ##0.0_ ;[Red]\-#\ ##0.0\ </c:formatCode>
                <c:ptCount val="4"/>
                <c:pt idx="0">
                  <c:v>202.6</c:v>
                </c:pt>
                <c:pt idx="1">
                  <c:v>68.700000000000017</c:v>
                </c:pt>
                <c:pt idx="2">
                  <c:v>209.3</c:v>
                </c:pt>
                <c:pt idx="3">
                  <c:v>75.564999999999998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3-4469-B7A3-C9D61E5BC7E6}"/>
            </c:ext>
          </c:extLst>
        </c:ser>
        <c:ser>
          <c:idx val="1"/>
          <c:order val="1"/>
          <c:tx>
            <c:strRef>
              <c:f>Koskisen!$A$5</c:f>
              <c:strCache>
                <c:ptCount val="1"/>
                <c:pt idx="0">
                  <c:v>EBITDA ADJUSTED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Koskisen!$B$2:$E$3</c15:sqref>
                  </c15:fullRef>
                </c:ext>
              </c:extLst>
              <c:f>Koskisen!$B$2:$E$3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Koskisen!$B$5:$F$5</c15:sqref>
                  </c15:fullRef>
                </c:ext>
              </c:extLst>
              <c:f>Koskisen!$B$5:$E$5</c:f>
              <c:numCache>
                <c:formatCode>#\ ##0.0_ ;[Red]\-#\ ##0.0\ </c:formatCode>
                <c:ptCount val="4"/>
                <c:pt idx="0">
                  <c:v>27.7</c:v>
                </c:pt>
                <c:pt idx="1">
                  <c:v>5.4000000000000021</c:v>
                </c:pt>
                <c:pt idx="2">
                  <c:v>18.600000000000001</c:v>
                </c:pt>
                <c:pt idx="3">
                  <c:v>9.8865000000000016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3-4469-B7A3-C9D61E5BC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7121071"/>
        <c:axId val="677121551"/>
      </c:barChart>
      <c:lineChart>
        <c:grouping val="standard"/>
        <c:varyColors val="0"/>
        <c:ser>
          <c:idx val="2"/>
          <c:order val="2"/>
          <c:tx>
            <c:strRef>
              <c:f>Koskisen!$A$6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Koskisen!$B$2:$F$3</c15:sqref>
                  </c15:fullRef>
                </c:ext>
              </c:extLst>
              <c:f>Koskisen!$B$2:$F$3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Koskisen!$B$6:$F$6</c15:sqref>
                  </c15:fullRef>
                </c:ext>
              </c:extLst>
              <c:f>Koskisen!$B$6:$E$6</c:f>
              <c:numCache>
                <c:formatCode>0.0\ %</c:formatCode>
                <c:ptCount val="4"/>
                <c:pt idx="0">
                  <c:v>0.13672260612043435</c:v>
                </c:pt>
                <c:pt idx="1">
                  <c:v>7.8602620087336261E-2</c:v>
                </c:pt>
                <c:pt idx="2">
                  <c:v>8.8867654085045392E-2</c:v>
                </c:pt>
                <c:pt idx="3">
                  <c:v>0.13083438099649311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83-4469-B7A3-C9D61E5BC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117231"/>
        <c:axId val="677116271"/>
      </c:lineChart>
      <c:catAx>
        <c:axId val="677121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7121551"/>
        <c:crosses val="autoZero"/>
        <c:auto val="1"/>
        <c:lblAlgn val="ctr"/>
        <c:lblOffset val="100"/>
        <c:noMultiLvlLbl val="0"/>
      </c:catAx>
      <c:valAx>
        <c:axId val="677121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7121071"/>
        <c:crosses val="autoZero"/>
        <c:crossBetween val="between"/>
      </c:valAx>
      <c:valAx>
        <c:axId val="67711627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7117231"/>
        <c:crosses val="max"/>
        <c:crossBetween val="between"/>
      </c:valAx>
      <c:catAx>
        <c:axId val="6771172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71162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Lapwall!$A$1</c:f>
          <c:strCache>
            <c:ptCount val="1"/>
            <c:pt idx="0">
              <c:v>LAPWALL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Lapwall!$A$4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Lapwall!$B$2:$E$3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Lapwall!$B$4:$E$4</c:f>
              <c:numCache>
                <c:formatCode>#\ ##0.0_ ;[Red]\-#\ ##0.0\ </c:formatCode>
                <c:ptCount val="4"/>
                <c:pt idx="0">
                  <c:v>29.8</c:v>
                </c:pt>
                <c:pt idx="1">
                  <c:v>12.1</c:v>
                </c:pt>
                <c:pt idx="2">
                  <c:v>32.799999999999997</c:v>
                </c:pt>
                <c:pt idx="3">
                  <c:v>10.950000000000003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E-42F4-9BDA-9EFB20A11792}"/>
            </c:ext>
          </c:extLst>
        </c:ser>
        <c:ser>
          <c:idx val="1"/>
          <c:order val="1"/>
          <c:tx>
            <c:strRef>
              <c:f>Lapwall!$A$5</c:f>
              <c:strCache>
                <c:ptCount val="1"/>
                <c:pt idx="0">
                  <c:v>EBIT without goodwill depreciations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Lapwall!$B$2:$E$3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Lapwall!$B$5:$E$5</c:f>
              <c:numCache>
                <c:formatCode>#\ ##0.0_ ;[Red]\-#\ ##0.0\ </c:formatCode>
                <c:ptCount val="4"/>
                <c:pt idx="0">
                  <c:v>2.9</c:v>
                </c:pt>
                <c:pt idx="1">
                  <c:v>1</c:v>
                </c:pt>
                <c:pt idx="2">
                  <c:v>3.8</c:v>
                </c:pt>
                <c:pt idx="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3E-42F4-9BDA-9EFB20A11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7121071"/>
        <c:axId val="677121551"/>
      </c:barChart>
      <c:lineChart>
        <c:grouping val="standard"/>
        <c:varyColors val="0"/>
        <c:ser>
          <c:idx val="2"/>
          <c:order val="2"/>
          <c:tx>
            <c:strRef>
              <c:f>Lapwall!$A$6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Lapwall!$B$2:$E$3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Lapwall!$B$6:$E$6</c:f>
              <c:numCache>
                <c:formatCode>0.0\ %</c:formatCode>
                <c:ptCount val="4"/>
                <c:pt idx="0">
                  <c:v>9.7315436241610737E-2</c:v>
                </c:pt>
                <c:pt idx="1">
                  <c:v>8.2644628099173556E-2</c:v>
                </c:pt>
                <c:pt idx="2">
                  <c:v>0.11585365853658537</c:v>
                </c:pt>
                <c:pt idx="3">
                  <c:v>0.11415525114155248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3E-42F4-9BDA-9EFB20A11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117231"/>
        <c:axId val="677116271"/>
      </c:lineChart>
      <c:catAx>
        <c:axId val="677121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7121551"/>
        <c:crosses val="autoZero"/>
        <c:auto val="1"/>
        <c:lblAlgn val="ctr"/>
        <c:lblOffset val="100"/>
        <c:noMultiLvlLbl val="0"/>
      </c:catAx>
      <c:valAx>
        <c:axId val="677121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7121071"/>
        <c:crosses val="autoZero"/>
        <c:crossBetween val="between"/>
      </c:valAx>
      <c:valAx>
        <c:axId val="67711627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7117231"/>
        <c:crosses val="max"/>
        <c:crossBetween val="between"/>
      </c:valAx>
      <c:catAx>
        <c:axId val="6771172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71162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Lassila!$A$1</c:f>
          <c:strCache>
            <c:ptCount val="1"/>
            <c:pt idx="0">
              <c:v>LASSILA &amp; TIKANOJA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Lassila!$A$4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Lassila!$B$2:$E$3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Lassila!$B$4:$E$4</c:f>
              <c:numCache>
                <c:formatCode>#\ ##0.0_ ;[Red]\-#\ ##0.0\ </c:formatCode>
                <c:ptCount val="4"/>
                <c:pt idx="0">
                  <c:v>601.20000000000005</c:v>
                </c:pt>
                <c:pt idx="1">
                  <c:v>200.79999999999995</c:v>
                </c:pt>
                <c:pt idx="2">
                  <c:v>576.5</c:v>
                </c:pt>
                <c:pt idx="3">
                  <c:v>225.5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F-4EE8-92E0-270CF96FFF40}"/>
            </c:ext>
          </c:extLst>
        </c:ser>
        <c:ser>
          <c:idx val="1"/>
          <c:order val="1"/>
          <c:tx>
            <c:strRef>
              <c:f>Lassila!$A$5</c:f>
              <c:strCache>
                <c:ptCount val="1"/>
                <c:pt idx="0">
                  <c:v>EBIT comparable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Lassila!$B$2:$E$3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Lassila!$B$5:$E$5</c:f>
              <c:numCache>
                <c:formatCode>#\ ##0.0_ ;[Red]\-#\ ##0.0\ </c:formatCode>
                <c:ptCount val="4"/>
                <c:pt idx="0">
                  <c:v>31.8</c:v>
                </c:pt>
                <c:pt idx="1">
                  <c:v>7.1999999999999993</c:v>
                </c:pt>
                <c:pt idx="2">
                  <c:v>32.700000000000003</c:v>
                </c:pt>
                <c:pt idx="3">
                  <c:v>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CF-4EE8-92E0-270CF96FF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Lassila!$A$6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Lassila!$B$2:$E$3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Lassila!$B$6:$E$6</c:f>
              <c:numCache>
                <c:formatCode>0.0\ %</c:formatCode>
                <c:ptCount val="4"/>
                <c:pt idx="0">
                  <c:v>5.2894211576846303E-2</c:v>
                </c:pt>
                <c:pt idx="1">
                  <c:v>3.5856573705179286E-2</c:v>
                </c:pt>
                <c:pt idx="2">
                  <c:v>5.6721595836947102E-2</c:v>
                </c:pt>
                <c:pt idx="3">
                  <c:v>3.6585365853658534E-2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F-4EE8-92E0-270CF96FF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Marimekko!$A$1</c:f>
          <c:strCache>
            <c:ptCount val="1"/>
            <c:pt idx="0">
              <c:v>MARIMEKKO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Marimekko!$A$4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Marimekko!$B$2:$E$3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Marimekko!$B$4:$E$4</c:f>
              <c:numCache>
                <c:formatCode>#\ ##0.0_ ;[Red]\-#\ ##0.0\ </c:formatCode>
                <c:ptCount val="4"/>
                <c:pt idx="0">
                  <c:v>75.599999999999994</c:v>
                </c:pt>
                <c:pt idx="1">
                  <c:v>50.6</c:v>
                </c:pt>
                <c:pt idx="2">
                  <c:v>128.6</c:v>
                </c:pt>
                <c:pt idx="3">
                  <c:v>54.205000000000013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D-4439-A659-B3ECBB6A74E9}"/>
            </c:ext>
          </c:extLst>
        </c:ser>
        <c:ser>
          <c:idx val="1"/>
          <c:order val="1"/>
          <c:tx>
            <c:strRef>
              <c:f>Marimekko!$A$5</c:f>
              <c:strCache>
                <c:ptCount val="1"/>
                <c:pt idx="0">
                  <c:v>EBIT comparable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Marimekko!$B$2:$E$3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Marimekko!$B$5:$E$5</c:f>
              <c:numCache>
                <c:formatCode>#\ ##0.0_ ;[Red]\-#\ ##0.0\ </c:formatCode>
                <c:ptCount val="4"/>
                <c:pt idx="0">
                  <c:v>10.399999999999999</c:v>
                </c:pt>
                <c:pt idx="1">
                  <c:v>8.1</c:v>
                </c:pt>
                <c:pt idx="2">
                  <c:v>22.7</c:v>
                </c:pt>
                <c:pt idx="3">
                  <c:v>9.2908749999999998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D-4439-A659-B3ECBB6A7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Marimekko!$A$6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Marimekko!$B$2:$E$3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Marimekko!$B$6:$E$6</c:f>
              <c:numCache>
                <c:formatCode>0.0\ %</c:formatCode>
                <c:ptCount val="4"/>
                <c:pt idx="0">
                  <c:v>0.13756613756613756</c:v>
                </c:pt>
                <c:pt idx="1">
                  <c:v>0.1600790513833992</c:v>
                </c:pt>
                <c:pt idx="2">
                  <c:v>0.17651632970451012</c:v>
                </c:pt>
                <c:pt idx="3">
                  <c:v>0.17140254589060044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D-4439-A659-B3ECBB6A7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Meta!$A$1</c:f>
          <c:strCache>
            <c:ptCount val="1"/>
            <c:pt idx="0">
              <c:v>META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Meta!$A$4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Meta!$B$2:$E$3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Meta!$B$4:$E$4</c:f>
              <c:numCache>
                <c:formatCode>#\ ##0.0_ ;[Red]\-#\ ##0.0\ </c:formatCode>
                <c:ptCount val="4"/>
                <c:pt idx="0">
                  <c:v>94790</c:v>
                </c:pt>
                <c:pt idx="1">
                  <c:v>40111</c:v>
                </c:pt>
                <c:pt idx="2">
                  <c:v>75526</c:v>
                </c:pt>
                <c:pt idx="3">
                  <c:v>86098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D-467D-A639-8CBA24842556}"/>
            </c:ext>
          </c:extLst>
        </c:ser>
        <c:ser>
          <c:idx val="1"/>
          <c:order val="1"/>
          <c:tx>
            <c:strRef>
              <c:f>Meta!$A$5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Meta!$B$2:$E$3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Meta!$B$5:$E$5</c:f>
              <c:numCache>
                <c:formatCode>#\ ##0.0_ ;[Red]\-#\ ##0.0\ </c:formatCode>
                <c:ptCount val="4"/>
                <c:pt idx="0">
                  <c:v>31552</c:v>
                </c:pt>
                <c:pt idx="1">
                  <c:v>17533</c:v>
                </c:pt>
                <c:pt idx="2">
                  <c:v>28665</c:v>
                </c:pt>
                <c:pt idx="3">
                  <c:v>34906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D-467D-A639-8CBA24842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Meta!$A$6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Meta!$B$2:$E$3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Meta!$B$6:$E$6</c:f>
              <c:numCache>
                <c:formatCode>0.0\ %</c:formatCode>
                <c:ptCount val="4"/>
                <c:pt idx="0">
                  <c:v>0.33286211625698914</c:v>
                </c:pt>
                <c:pt idx="1">
                  <c:v>0.43711201416070405</c:v>
                </c:pt>
                <c:pt idx="2">
                  <c:v>0.37953817228504089</c:v>
                </c:pt>
                <c:pt idx="3">
                  <c:v>0.40542172872772886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8D-467D-A639-8CBA24842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Microsoft!$A$1</c:f>
          <c:strCache>
            <c:ptCount val="1"/>
            <c:pt idx="0">
              <c:v>MICROSOFT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Microsoft!$A$4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Microsoft!$B$2:$E$3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Microsoft!$B$4:$E$4</c:f>
              <c:numCache>
                <c:formatCode>#\ ##0.0_ ;[Red]\-#\ ##0.0\ </c:formatCode>
                <c:ptCount val="4"/>
                <c:pt idx="0">
                  <c:v>165563</c:v>
                </c:pt>
                <c:pt idx="1">
                  <c:v>62020</c:v>
                </c:pt>
                <c:pt idx="2">
                  <c:v>192170</c:v>
                </c:pt>
                <c:pt idx="3">
                  <c:v>69852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3-4D39-92BD-B896915B919B}"/>
            </c:ext>
          </c:extLst>
        </c:ser>
        <c:ser>
          <c:idx val="1"/>
          <c:order val="1"/>
          <c:tx>
            <c:strRef>
              <c:f>Microsoft!$A$5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Microsoft!$B$2:$E$3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Microsoft!$B$5:$E$5</c:f>
              <c:numCache>
                <c:formatCode>#\ ##0.0_ ;[Red]\-#\ ##0.0\ </c:formatCode>
                <c:ptCount val="4"/>
                <c:pt idx="0">
                  <c:v>73501</c:v>
                </c:pt>
                <c:pt idx="1">
                  <c:v>27032</c:v>
                </c:pt>
                <c:pt idx="2">
                  <c:v>86058</c:v>
                </c:pt>
                <c:pt idx="3">
                  <c:v>30282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3-4D39-92BD-B896915B9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Microsoft!$A$6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Microsoft!$B$2:$E$3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Microsoft!$B$6:$E$6</c:f>
              <c:numCache>
                <c:formatCode>0.0\ %</c:formatCode>
                <c:ptCount val="4"/>
                <c:pt idx="0">
                  <c:v>0.44394580914817922</c:v>
                </c:pt>
                <c:pt idx="1">
                  <c:v>0.43585940019348596</c:v>
                </c:pt>
                <c:pt idx="2">
                  <c:v>0.44782224072435867</c:v>
                </c:pt>
                <c:pt idx="3">
                  <c:v>0.43351657790757603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D3-4D39-92BD-B896915B9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Nokia!$A$1</c:f>
          <c:strCache>
            <c:ptCount val="1"/>
            <c:pt idx="0">
              <c:v>NOKIA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Nokia!$A$4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Nokia!$B$2:$E$3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Nokia!$B$4:$E$4</c:f>
              <c:numCache>
                <c:formatCode>#\ ##0.0_ ;[Red]\-#\ ##0.0\ </c:formatCode>
                <c:ptCount val="4"/>
                <c:pt idx="0">
                  <c:v>15722</c:v>
                </c:pt>
                <c:pt idx="1">
                  <c:v>5707</c:v>
                </c:pt>
                <c:pt idx="2">
                  <c:v>13236</c:v>
                </c:pt>
                <c:pt idx="3">
                  <c:v>6093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9-4755-A6AF-B43E6A101AF7}"/>
            </c:ext>
          </c:extLst>
        </c:ser>
        <c:ser>
          <c:idx val="1"/>
          <c:order val="1"/>
          <c:tx>
            <c:strRef>
              <c:f>Nokia!$A$5</c:f>
              <c:strCache>
                <c:ptCount val="1"/>
                <c:pt idx="0">
                  <c:v>EBIT adj.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Nokia!$B$2:$E$3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Nokia!$B$5:$E$5</c:f>
              <c:numCache>
                <c:formatCode>#\ ##0.0_ ;[Red]\-#\ ##0.0\ </c:formatCode>
                <c:ptCount val="4"/>
                <c:pt idx="0">
                  <c:v>1507</c:v>
                </c:pt>
                <c:pt idx="1">
                  <c:v>786</c:v>
                </c:pt>
                <c:pt idx="2">
                  <c:v>1477</c:v>
                </c:pt>
                <c:pt idx="3">
                  <c:v>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9-4755-A6AF-B43E6A101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Nokia!$A$6</c:f>
              <c:strCache>
                <c:ptCount val="1"/>
                <c:pt idx="0">
                  <c:v>EBIT%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Nokia!$B$2:$E$3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Nokia!$B$6:$E$6</c:f>
              <c:numCache>
                <c:formatCode>0.0\ %</c:formatCode>
                <c:ptCount val="4"/>
                <c:pt idx="0">
                  <c:v>9.5852944917949365E-2</c:v>
                </c:pt>
                <c:pt idx="1">
                  <c:v>0.13772560014017873</c:v>
                </c:pt>
                <c:pt idx="2">
                  <c:v>0.11158960411000302</c:v>
                </c:pt>
                <c:pt idx="3">
                  <c:v>0.1596914492040046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E9-4755-A6AF-B43E6A101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Nokian_Tyres!$A$1</c:f>
          <c:strCache>
            <c:ptCount val="1"/>
            <c:pt idx="0">
              <c:v>NOKIAN TYRES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Nokian_Tyres!$A$4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Nokian_Tyres!$B$2:$E$3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Nokian_Tyres!$B$4:$E$4</c:f>
              <c:numCache>
                <c:formatCode>#\ ##0.0_ ;[Red]\-#\ ##0.0\ </c:formatCode>
                <c:ptCount val="4"/>
                <c:pt idx="0">
                  <c:v>806</c:v>
                </c:pt>
                <c:pt idx="1">
                  <c:v>368</c:v>
                </c:pt>
                <c:pt idx="2">
                  <c:v>875</c:v>
                </c:pt>
                <c:pt idx="3">
                  <c:v>475.09999999999991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1-49FD-A22A-C02D618AD931}"/>
            </c:ext>
          </c:extLst>
        </c:ser>
        <c:ser>
          <c:idx val="1"/>
          <c:order val="1"/>
          <c:tx>
            <c:strRef>
              <c:f>Nokian_Tyres!$A$5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Nokian_Tyres!$B$2:$E$3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Nokian_Tyres!$B$5:$E$5</c:f>
              <c:numCache>
                <c:formatCode>#\ ##0.0_ ;[Red]\-#\ ##0.0\ </c:formatCode>
                <c:ptCount val="4"/>
                <c:pt idx="0">
                  <c:v>-1</c:v>
                </c:pt>
                <c:pt idx="1">
                  <c:v>33</c:v>
                </c:pt>
                <c:pt idx="2">
                  <c:v>-14</c:v>
                </c:pt>
                <c:pt idx="3">
                  <c:v>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31-49FD-A22A-C02D618AD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7096111"/>
        <c:axId val="677093231"/>
      </c:barChart>
      <c:lineChart>
        <c:grouping val="standard"/>
        <c:varyColors val="0"/>
        <c:ser>
          <c:idx val="2"/>
          <c:order val="2"/>
          <c:tx>
            <c:strRef>
              <c:f>Nokian_Tyres!$A$6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Nokian_Tyres!$B$2:$E$3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Nokian_Tyres!$B$6:$E$6</c:f>
              <c:numCache>
                <c:formatCode>0.0\ %</c:formatCode>
                <c:ptCount val="4"/>
                <c:pt idx="0">
                  <c:v>-1.2406947890818859E-3</c:v>
                </c:pt>
                <c:pt idx="1">
                  <c:v>8.9673913043478257E-2</c:v>
                </c:pt>
                <c:pt idx="2">
                  <c:v>-1.6E-2</c:v>
                </c:pt>
                <c:pt idx="3">
                  <c:v>0.10692485792464745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31-49FD-A22A-C02D618AD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090351"/>
        <c:axId val="677094671"/>
      </c:lineChart>
      <c:catAx>
        <c:axId val="6770961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7093231"/>
        <c:crosses val="autoZero"/>
        <c:auto val="1"/>
        <c:lblAlgn val="ctr"/>
        <c:lblOffset val="100"/>
        <c:noMultiLvlLbl val="0"/>
      </c:catAx>
      <c:valAx>
        <c:axId val="677093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7096111"/>
        <c:crosses val="autoZero"/>
        <c:crossBetween val="between"/>
      </c:valAx>
      <c:valAx>
        <c:axId val="67709467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7090351"/>
        <c:crosses val="max"/>
        <c:crossBetween val="between"/>
      </c:valAx>
      <c:catAx>
        <c:axId val="67709035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7094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Nvidia!$A$1</c:f>
          <c:strCache>
            <c:ptCount val="1"/>
            <c:pt idx="0">
              <c:v>NVIDIA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Nvidia!$A$4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Nvidia!$B$2:$E$3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Nvidia!$B$4:$E$4</c:f>
              <c:numCache>
                <c:formatCode>#\ ##0.0_ ;[Red]\-#\ ##0.0\ </c:formatCode>
                <c:ptCount val="4"/>
                <c:pt idx="0">
                  <c:v>38819</c:v>
                </c:pt>
                <c:pt idx="1">
                  <c:v>22103</c:v>
                </c:pt>
                <c:pt idx="2">
                  <c:v>91166</c:v>
                </c:pt>
                <c:pt idx="3">
                  <c:v>38025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C-449B-9F84-65F37EA54466}"/>
            </c:ext>
          </c:extLst>
        </c:ser>
        <c:ser>
          <c:idx val="1"/>
          <c:order val="1"/>
          <c:tx>
            <c:strRef>
              <c:f>Nvidia!$A$5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Nvidia!$B$2:$E$3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Nvidia!$B$5:$E$5</c:f>
              <c:numCache>
                <c:formatCode>#\ ##0.0_ ;[Red]\-#\ ##0.0\ </c:formatCode>
                <c:ptCount val="4"/>
                <c:pt idx="0">
                  <c:v>22385</c:v>
                </c:pt>
                <c:pt idx="1">
                  <c:v>14749</c:v>
                </c:pt>
                <c:pt idx="2">
                  <c:v>61272</c:v>
                </c:pt>
                <c:pt idx="3">
                  <c:v>24500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C-449B-9F84-65F37EA54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Nvidia!$A$6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Nvidia!$B$2:$E$3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Nvidia!$B$6:$E$6</c:f>
              <c:numCache>
                <c:formatCode>0.0\ %</c:formatCode>
                <c:ptCount val="4"/>
                <c:pt idx="0">
                  <c:v>0.57665060923774436</c:v>
                </c:pt>
                <c:pt idx="1">
                  <c:v>0.66728498393883184</c:v>
                </c:pt>
                <c:pt idx="2">
                  <c:v>0.6720926661255292</c:v>
                </c:pt>
                <c:pt idx="3">
                  <c:v>0.64431295200525973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C-449B-9F84-65F37EA54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Orion!$A$1</c:f>
          <c:strCache>
            <c:ptCount val="1"/>
            <c:pt idx="0">
              <c:v>ORION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Orion!$A$4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Orion!$B$2:$E$3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Orion!$B$4:$E$4</c:f>
              <c:numCache>
                <c:formatCode>#\ ##0.0_ ;[Red]\-#\ ##0.0\ </c:formatCode>
                <c:ptCount val="4"/>
                <c:pt idx="0">
                  <c:v>869</c:v>
                </c:pt>
                <c:pt idx="1">
                  <c:v>321</c:v>
                </c:pt>
                <c:pt idx="2">
                  <c:v>1108</c:v>
                </c:pt>
                <c:pt idx="3">
                  <c:v>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C-4897-84F8-33A4DFAC0E47}"/>
            </c:ext>
          </c:extLst>
        </c:ser>
        <c:ser>
          <c:idx val="1"/>
          <c:order val="1"/>
          <c:tx>
            <c:strRef>
              <c:f>Orion!$A$5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Orion!$B$2:$E$3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Orion!$B$5:$E$5</c:f>
              <c:numCache>
                <c:formatCode>#\ ##0.0_ ;[Red]\-#\ ##0.0\ </c:formatCode>
                <c:ptCount val="4"/>
                <c:pt idx="0">
                  <c:v>192</c:v>
                </c:pt>
                <c:pt idx="1">
                  <c:v>93</c:v>
                </c:pt>
                <c:pt idx="2">
                  <c:v>324</c:v>
                </c:pt>
                <c:pt idx="3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5C-4897-84F8-33A4DFAC0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7096111"/>
        <c:axId val="677093231"/>
      </c:barChart>
      <c:lineChart>
        <c:grouping val="standard"/>
        <c:varyColors val="0"/>
        <c:ser>
          <c:idx val="2"/>
          <c:order val="2"/>
          <c:tx>
            <c:strRef>
              <c:f>Orion!$A$6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Orion!$B$2:$E$3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Orion!$B$6:$E$6</c:f>
              <c:numCache>
                <c:formatCode>0.0\ %</c:formatCode>
                <c:ptCount val="4"/>
                <c:pt idx="0">
                  <c:v>0.22094361334867663</c:v>
                </c:pt>
                <c:pt idx="1">
                  <c:v>0.28971962616822428</c:v>
                </c:pt>
                <c:pt idx="2">
                  <c:v>0.29241877256317689</c:v>
                </c:pt>
                <c:pt idx="3">
                  <c:v>0.21428571428571427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5C-4897-84F8-33A4DFAC0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090351"/>
        <c:axId val="677094671"/>
      </c:lineChart>
      <c:catAx>
        <c:axId val="6770961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7093231"/>
        <c:crosses val="autoZero"/>
        <c:auto val="1"/>
        <c:lblAlgn val="ctr"/>
        <c:lblOffset val="100"/>
        <c:noMultiLvlLbl val="0"/>
      </c:catAx>
      <c:valAx>
        <c:axId val="677093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7096111"/>
        <c:crosses val="autoZero"/>
        <c:crossBetween val="between"/>
      </c:valAx>
      <c:valAx>
        <c:axId val="67709467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7090351"/>
        <c:crosses val="max"/>
        <c:crossBetween val="between"/>
      </c:valAx>
      <c:catAx>
        <c:axId val="67709035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7094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Puuilo!$A$1</c:f>
          <c:strCache>
            <c:ptCount val="1"/>
            <c:pt idx="0">
              <c:v>PUUILO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Puuilo!$A$4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Puuilo!$B$2:$E$3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Puuilo!$B$4:$E$4</c:f>
              <c:numCache>
                <c:formatCode>#\ ##0.0_ ;[Red]\-#\ ##0.0\ </c:formatCode>
                <c:ptCount val="4"/>
                <c:pt idx="0">
                  <c:v>261.60000000000002</c:v>
                </c:pt>
                <c:pt idx="1">
                  <c:v>76.799999999999955</c:v>
                </c:pt>
                <c:pt idx="2">
                  <c:v>297.60000000000002</c:v>
                </c:pt>
                <c:pt idx="3">
                  <c:v>92.399999999999977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6-4E0B-B01E-056E54A0F3C9}"/>
            </c:ext>
          </c:extLst>
        </c:ser>
        <c:ser>
          <c:idx val="1"/>
          <c:order val="1"/>
          <c:tx>
            <c:strRef>
              <c:f>Puuilo!$A$5</c:f>
              <c:strCache>
                <c:ptCount val="1"/>
                <c:pt idx="0">
                  <c:v>EBITA adjusted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Puuilo!$B$2:$E$3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Puuilo!$B$5:$E$5</c:f>
              <c:numCache>
                <c:formatCode>#\ ##0.0_ ;[Red]\-#\ ##0.0\ </c:formatCode>
                <c:ptCount val="4"/>
                <c:pt idx="0">
                  <c:v>43.4</c:v>
                </c:pt>
                <c:pt idx="1">
                  <c:v>10.700000000000003</c:v>
                </c:pt>
                <c:pt idx="2">
                  <c:v>52.7</c:v>
                </c:pt>
                <c:pt idx="3">
                  <c:v>10.299999999999997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6-4E0B-B01E-056E54A0F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Puuilo!$A$6</c:f>
              <c:strCache>
                <c:ptCount val="1"/>
                <c:pt idx="0">
                  <c:v>EBITA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Puuilo!$B$2:$E$3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Puuilo!$B$6:$E$6</c:f>
              <c:numCache>
                <c:formatCode>0.0\ %</c:formatCode>
                <c:ptCount val="4"/>
                <c:pt idx="0">
                  <c:v>0.16590214067278286</c:v>
                </c:pt>
                <c:pt idx="1">
                  <c:v>0.1393229166666668</c:v>
                </c:pt>
                <c:pt idx="2">
                  <c:v>0.17708333333333334</c:v>
                </c:pt>
                <c:pt idx="3">
                  <c:v>0.11147186147186147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56-4E0B-B01E-056E54A0F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'Qt (2)'!$A$1</c:f>
          <c:strCache>
            <c:ptCount val="1"/>
            <c:pt idx="0">
              <c:v>QT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'Qt (2)'!$A$4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'Qt (2)'!$B$2:$E$3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'Qt (2)'!$B$4:$E$4</c:f>
              <c:numCache>
                <c:formatCode>#\ ##0.0_ ;[Red]\-#\ ##0.0\ </c:formatCode>
                <c:ptCount val="4"/>
                <c:pt idx="0">
                  <c:v>121.5</c:v>
                </c:pt>
                <c:pt idx="1">
                  <c:v>59.199999999999989</c:v>
                </c:pt>
                <c:pt idx="2">
                  <c:v>140.6</c:v>
                </c:pt>
                <c:pt idx="3">
                  <c:v>80.757500000000022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5-4E37-BF8A-7293B3E1EF64}"/>
            </c:ext>
          </c:extLst>
        </c:ser>
        <c:ser>
          <c:idx val="1"/>
          <c:order val="1"/>
          <c:tx>
            <c:strRef>
              <c:f>'Qt (2)'!$A$5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'Qt (2)'!$B$2:$E$3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'Qt (2)'!$B$5:$E$5</c:f>
              <c:numCache>
                <c:formatCode>#\ ##0.0_ ;[Red]\-#\ ##0.0\ </c:formatCode>
                <c:ptCount val="4"/>
                <c:pt idx="0">
                  <c:v>23.4</c:v>
                </c:pt>
                <c:pt idx="1">
                  <c:v>24</c:v>
                </c:pt>
                <c:pt idx="2">
                  <c:v>33.799999999999997</c:v>
                </c:pt>
                <c:pt idx="3">
                  <c:v>27.82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5-4E37-BF8A-7293B3E1E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115679"/>
        <c:axId val="637093599"/>
      </c:barChart>
      <c:lineChart>
        <c:grouping val="standard"/>
        <c:varyColors val="0"/>
        <c:ser>
          <c:idx val="2"/>
          <c:order val="2"/>
          <c:tx>
            <c:strRef>
              <c:f>'Qt (2)'!$A$6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'Qt (2)'!$B$2:$E$3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'Qt (2)'!$B$6:$E$6</c:f>
              <c:numCache>
                <c:formatCode>0.0\ %</c:formatCode>
                <c:ptCount val="4"/>
                <c:pt idx="0">
                  <c:v>0.19259259259259259</c:v>
                </c:pt>
                <c:pt idx="1">
                  <c:v>0.40540540540540548</c:v>
                </c:pt>
                <c:pt idx="2">
                  <c:v>0.24039829302987198</c:v>
                </c:pt>
                <c:pt idx="3">
                  <c:v>0.34448812803764345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85-4E37-BF8A-7293B3E1E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110399"/>
        <c:axId val="637089279"/>
      </c:lineChart>
      <c:catAx>
        <c:axId val="63711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3599"/>
        <c:crosses val="autoZero"/>
        <c:auto val="1"/>
        <c:lblAlgn val="ctr"/>
        <c:lblOffset val="100"/>
        <c:noMultiLvlLbl val="0"/>
      </c:catAx>
      <c:valAx>
        <c:axId val="637093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15679"/>
        <c:crosses val="autoZero"/>
        <c:crossBetween val="between"/>
      </c:valAx>
      <c:valAx>
        <c:axId val="63708927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10399"/>
        <c:crosses val="max"/>
        <c:crossBetween val="between"/>
      </c:valAx>
      <c:catAx>
        <c:axId val="63711039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0892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Qt!$A$1</c:f>
          <c:strCache>
            <c:ptCount val="1"/>
            <c:pt idx="0">
              <c:v>QT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Qt!$B$2:$E$3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Qt!$B$4:$E$4</c:f>
              <c:numCache>
                <c:formatCode>#\ ##0.0_ ;[Red]\-#\ ##0.0\ </c:formatCode>
                <c:ptCount val="4"/>
                <c:pt idx="0">
                  <c:v>121.5</c:v>
                </c:pt>
                <c:pt idx="1">
                  <c:v>59.199999999999989</c:v>
                </c:pt>
                <c:pt idx="2">
                  <c:v>140.6</c:v>
                </c:pt>
                <c:pt idx="3">
                  <c:v>68.400000000000006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EF-4F1E-AFFD-7460C2BB87C7}"/>
            </c:ext>
          </c:extLst>
        </c:ser>
        <c:ser>
          <c:idx val="1"/>
          <c:order val="1"/>
          <c:tx>
            <c:strRef>
              <c:f>Qt!$A$5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Qt!$B$2:$E$3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Qt!$B$5:$E$5</c:f>
              <c:numCache>
                <c:formatCode>#\ ##0.0_ ;[Red]\-#\ ##0.0\ </c:formatCode>
                <c:ptCount val="4"/>
                <c:pt idx="0">
                  <c:v>23.4</c:v>
                </c:pt>
                <c:pt idx="1">
                  <c:v>24</c:v>
                </c:pt>
                <c:pt idx="2">
                  <c:v>33.799999999999997</c:v>
                </c:pt>
                <c:pt idx="3">
                  <c:v>37.260000000000005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EF-4F1E-AFFD-7460C2BB8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115679"/>
        <c:axId val="637093599"/>
      </c:barChart>
      <c:lineChart>
        <c:grouping val="standard"/>
        <c:varyColors val="0"/>
        <c:ser>
          <c:idx val="2"/>
          <c:order val="2"/>
          <c:tx>
            <c:strRef>
              <c:f>Qt!$A$6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Qt!$B$2:$E$3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Qt!$B$6:$E$6</c:f>
              <c:numCache>
                <c:formatCode>0.0\ %</c:formatCode>
                <c:ptCount val="4"/>
                <c:pt idx="0">
                  <c:v>0.19259259259259259</c:v>
                </c:pt>
                <c:pt idx="1">
                  <c:v>0.40540540540540548</c:v>
                </c:pt>
                <c:pt idx="2">
                  <c:v>0.24039829302987198</c:v>
                </c:pt>
                <c:pt idx="3">
                  <c:v>0.54473684210526319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EF-4F1E-AFFD-7460C2BB8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110399"/>
        <c:axId val="637089279"/>
      </c:lineChart>
      <c:catAx>
        <c:axId val="63711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3599"/>
        <c:crosses val="autoZero"/>
        <c:auto val="1"/>
        <c:lblAlgn val="ctr"/>
        <c:lblOffset val="100"/>
        <c:noMultiLvlLbl val="0"/>
      </c:catAx>
      <c:valAx>
        <c:axId val="637093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15679"/>
        <c:crosses val="autoZero"/>
        <c:crossBetween val="between"/>
      </c:valAx>
      <c:valAx>
        <c:axId val="63708927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10399"/>
        <c:crosses val="max"/>
        <c:crossBetween val="between"/>
      </c:valAx>
      <c:catAx>
        <c:axId val="63711039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0892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Raute!$A$1</c:f>
          <c:strCache>
            <c:ptCount val="1"/>
            <c:pt idx="0">
              <c:v>RAUTE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Raute!$A$4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Raute!$B$2:$E$3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Raute!$B$4:$E$4</c:f>
              <c:numCache>
                <c:formatCode>#\ ##0.0_ ;[Red]\-#\ ##0.0\ </c:formatCode>
                <c:ptCount val="4"/>
                <c:pt idx="0">
                  <c:v>100.2</c:v>
                </c:pt>
                <c:pt idx="1">
                  <c:v>45.2</c:v>
                </c:pt>
                <c:pt idx="2">
                  <c:v>148.1</c:v>
                </c:pt>
                <c:pt idx="3">
                  <c:v>51.900000000000006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B-4B50-8655-4B8CA55BF39A}"/>
            </c:ext>
          </c:extLst>
        </c:ser>
        <c:ser>
          <c:idx val="1"/>
          <c:order val="1"/>
          <c:tx>
            <c:strRef>
              <c:f>Raute!$A$5</c:f>
              <c:strCache>
                <c:ptCount val="1"/>
                <c:pt idx="0">
                  <c:v>ebitda comparable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Raute!$B$2:$E$3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Raute!$B$5:$E$5</c:f>
              <c:numCache>
                <c:formatCode>#\ ##0.0_ ;[Red]\-#\ ##0.0\ </c:formatCode>
                <c:ptCount val="4"/>
                <c:pt idx="0">
                  <c:v>6.6</c:v>
                </c:pt>
                <c:pt idx="1">
                  <c:v>2.7000000000000011</c:v>
                </c:pt>
                <c:pt idx="2">
                  <c:v>14.7</c:v>
                </c:pt>
                <c:pt idx="3">
                  <c:v>4.3000000000000007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B-4B50-8655-4B8CA55BF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115679"/>
        <c:axId val="637093599"/>
      </c:barChart>
      <c:lineChart>
        <c:grouping val="standard"/>
        <c:varyColors val="0"/>
        <c:ser>
          <c:idx val="2"/>
          <c:order val="2"/>
          <c:tx>
            <c:strRef>
              <c:f>Raute!$A$6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Raute!$B$2:$E$3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Raute!$B$6:$E$6</c:f>
              <c:numCache>
                <c:formatCode>0.0\ %</c:formatCode>
                <c:ptCount val="4"/>
                <c:pt idx="0">
                  <c:v>6.5868263473053884E-2</c:v>
                </c:pt>
                <c:pt idx="1">
                  <c:v>5.97345132743363E-2</c:v>
                </c:pt>
                <c:pt idx="2">
                  <c:v>9.9257258609047938E-2</c:v>
                </c:pt>
                <c:pt idx="3">
                  <c:v>8.2851637764932567E-2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2B-4B50-8655-4B8CA55BF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110399"/>
        <c:axId val="637089279"/>
      </c:lineChart>
      <c:catAx>
        <c:axId val="63711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3599"/>
        <c:crosses val="autoZero"/>
        <c:auto val="1"/>
        <c:lblAlgn val="ctr"/>
        <c:lblOffset val="100"/>
        <c:noMultiLvlLbl val="0"/>
      </c:catAx>
      <c:valAx>
        <c:axId val="637093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15679"/>
        <c:crosses val="autoZero"/>
        <c:crossBetween val="between"/>
      </c:valAx>
      <c:valAx>
        <c:axId val="63708927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10399"/>
        <c:crosses val="max"/>
        <c:crossBetween val="between"/>
      </c:valAx>
      <c:catAx>
        <c:axId val="63711039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0892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Revenio!$A$1</c:f>
          <c:strCache>
            <c:ptCount val="1"/>
            <c:pt idx="0">
              <c:v>REVENIO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Revenio!$A$4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Revenio!$B$2:$E$3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Revenio!$B$4:$E$4</c:f>
              <c:numCache>
                <c:formatCode>#\ ##0.0_ ;[Red]\-#\ ##0.0\ </c:formatCode>
                <c:ptCount val="4"/>
                <c:pt idx="0">
                  <c:v>67.400000000000006</c:v>
                </c:pt>
                <c:pt idx="1">
                  <c:v>29.2</c:v>
                </c:pt>
                <c:pt idx="2">
                  <c:v>73</c:v>
                </c:pt>
                <c:pt idx="3">
                  <c:v>32.293999999999997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4-4CBB-9B9C-3AB409CE9C91}"/>
            </c:ext>
          </c:extLst>
        </c:ser>
        <c:ser>
          <c:idx val="1"/>
          <c:order val="1"/>
          <c:tx>
            <c:strRef>
              <c:f>Revenio!$A$5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Revenio!$B$2:$E$3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Revenio!$B$5:$E$5</c:f>
              <c:numCache>
                <c:formatCode>#\ ##0.0_ ;[Red]\-#\ ##0.0\ </c:formatCode>
                <c:ptCount val="4"/>
                <c:pt idx="0">
                  <c:v>19.8</c:v>
                </c:pt>
                <c:pt idx="1">
                  <c:v>10.399999999999999</c:v>
                </c:pt>
                <c:pt idx="2">
                  <c:v>20</c:v>
                </c:pt>
                <c:pt idx="3">
                  <c:v>10.008789999999998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94-4CBB-9B9C-3AB409CE9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Revenio!$A$6</c:f>
              <c:strCache>
                <c:ptCount val="1"/>
                <c:pt idx="0">
                  <c:v>EBITDA%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Revenio!$B$2:$E$3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Revenio!$B$6:$E$6</c:f>
              <c:numCache>
                <c:formatCode>0.0\ %</c:formatCode>
                <c:ptCount val="4"/>
                <c:pt idx="0">
                  <c:v>0.29376854599406527</c:v>
                </c:pt>
                <c:pt idx="1">
                  <c:v>0.35616438356164382</c:v>
                </c:pt>
                <c:pt idx="2">
                  <c:v>0.27397260273972601</c:v>
                </c:pt>
                <c:pt idx="3">
                  <c:v>0.30992723106459402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94-4CBB-9B9C-3AB409CE9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Scanfil!$A$1</c:f>
          <c:strCache>
            <c:ptCount val="1"/>
            <c:pt idx="0">
              <c:v>SCANFIL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Scanfil!$A$4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Scanfil!$B$2:$E$3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Scanfil!$B$4:$E$4</c:f>
              <c:numCache>
                <c:formatCode>#\ ##0.0_ ;[Red]\-#\ ##0.0\ </c:formatCode>
                <c:ptCount val="4"/>
                <c:pt idx="0">
                  <c:v>468</c:v>
                </c:pt>
                <c:pt idx="1">
                  <c:v>221</c:v>
                </c:pt>
                <c:pt idx="2">
                  <c:v>567.70000000000005</c:v>
                </c:pt>
                <c:pt idx="3">
                  <c:v>207.29999999999995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5-4468-895D-286FE07C691F}"/>
            </c:ext>
          </c:extLst>
        </c:ser>
        <c:ser>
          <c:idx val="1"/>
          <c:order val="1"/>
          <c:tx>
            <c:strRef>
              <c:f>Scanfil!$A$5</c:f>
              <c:strCache>
                <c:ptCount val="1"/>
                <c:pt idx="0">
                  <c:v>EBIT comparable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Scanfil!$B$2:$E$3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Scanfil!$B$5:$E$5</c:f>
              <c:numCache>
                <c:formatCode>#\ ##0.0_ ;[Red]\-#\ ##0.0\ </c:formatCode>
                <c:ptCount val="4"/>
                <c:pt idx="0">
                  <c:v>32.6</c:v>
                </c:pt>
                <c:pt idx="1">
                  <c:v>13.4</c:v>
                </c:pt>
                <c:pt idx="2">
                  <c:v>39.1</c:v>
                </c:pt>
                <c:pt idx="3">
                  <c:v>14.399999999999999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75-4468-895D-286FE07C6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Scanfil!$A$6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Scanfil!$B$2:$E$3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Scanfil!$B$6:$E$6</c:f>
              <c:numCache>
                <c:formatCode>0.0\ %</c:formatCode>
                <c:ptCount val="4"/>
                <c:pt idx="0">
                  <c:v>6.965811965811966E-2</c:v>
                </c:pt>
                <c:pt idx="1">
                  <c:v>6.0633484162895927E-2</c:v>
                </c:pt>
                <c:pt idx="2">
                  <c:v>6.8874405495860491E-2</c:v>
                </c:pt>
                <c:pt idx="3">
                  <c:v>6.9464544138929094E-2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75-4468-895D-286FE07C6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Siili!$A$1</c:f>
          <c:strCache>
            <c:ptCount val="1"/>
            <c:pt idx="0">
              <c:v>SIILI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Siili!$A$4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Siili!$B$2:$E$3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Siili!$B$4:$E$4</c:f>
              <c:numCache>
                <c:formatCode>#\ ##0.0_ ;[Red]\-#\ ##0.0\ </c:formatCode>
                <c:ptCount val="4"/>
                <c:pt idx="0">
                  <c:v>65.300000000000011</c:v>
                </c:pt>
                <c:pt idx="1">
                  <c:v>28.7</c:v>
                </c:pt>
                <c:pt idx="2">
                  <c:v>83.3</c:v>
                </c:pt>
                <c:pt idx="3">
                  <c:v>27.700000000000003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9-4DDB-BF3C-636CC7F7314A}"/>
            </c:ext>
          </c:extLst>
        </c:ser>
        <c:ser>
          <c:idx val="1"/>
          <c:order val="1"/>
          <c:tx>
            <c:strRef>
              <c:f>Siili!$A$5</c:f>
              <c:strCache>
                <c:ptCount val="1"/>
                <c:pt idx="0">
                  <c:v>EBIT comparable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Siili!$B$2:$E$3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Siili!$B$5:$E$5</c:f>
              <c:numCache>
                <c:formatCode>#\ ##0.0_ ;[Red]\-#\ ##0.0\ </c:formatCode>
                <c:ptCount val="4"/>
                <c:pt idx="0">
                  <c:v>3.9000000000000004</c:v>
                </c:pt>
                <c:pt idx="1">
                  <c:v>1.4</c:v>
                </c:pt>
                <c:pt idx="2">
                  <c:v>4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69-4DDB-BF3C-636CC7F73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Siili!$A$6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Siili!$B$2:$E$3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Siili!$B$6:$E$6</c:f>
              <c:numCache>
                <c:formatCode>0.0\ %</c:formatCode>
                <c:ptCount val="4"/>
                <c:pt idx="0">
                  <c:v>5.9724349157733531E-2</c:v>
                </c:pt>
                <c:pt idx="1">
                  <c:v>4.8780487804878044E-2</c:v>
                </c:pt>
                <c:pt idx="2">
                  <c:v>4.8019207683073231E-2</c:v>
                </c:pt>
                <c:pt idx="3">
                  <c:v>5.4151624548736454E-2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69-4DDB-BF3C-636CC7F73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Talenom!$A$1</c:f>
          <c:strCache>
            <c:ptCount val="1"/>
            <c:pt idx="0">
              <c:v>TALENOM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Talenom!$A$4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Talenom!$B$2:$E$3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Talenom!$B$4:$E$4</c:f>
              <c:numCache>
                <c:formatCode>#\ ##0.0_ ;[Red]\-#\ ##0.0\ </c:formatCode>
                <c:ptCount val="4"/>
                <c:pt idx="0">
                  <c:v>92</c:v>
                </c:pt>
                <c:pt idx="1">
                  <c:v>29.700000000000003</c:v>
                </c:pt>
                <c:pt idx="2">
                  <c:v>97</c:v>
                </c:pt>
                <c:pt idx="3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3-4B15-A7A6-899860196AB7}"/>
            </c:ext>
          </c:extLst>
        </c:ser>
        <c:ser>
          <c:idx val="1"/>
          <c:order val="1"/>
          <c:tx>
            <c:strRef>
              <c:f>Talenom!$A$5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Talenom!$B$2:$E$3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Talenom!$B$5:$E$5</c:f>
              <c:numCache>
                <c:formatCode>#\ ##0.0_ ;[Red]\-#\ ##0.0\ </c:formatCode>
                <c:ptCount val="4"/>
                <c:pt idx="0">
                  <c:v>6.4</c:v>
                </c:pt>
                <c:pt idx="1">
                  <c:v>1.5</c:v>
                </c:pt>
                <c:pt idx="2">
                  <c:v>11.4</c:v>
                </c:pt>
                <c:pt idx="3">
                  <c:v>1.0999999999999996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53-4B15-A7A6-899860196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116159"/>
        <c:axId val="637099839"/>
      </c:barChart>
      <c:lineChart>
        <c:grouping val="standard"/>
        <c:varyColors val="0"/>
        <c:ser>
          <c:idx val="2"/>
          <c:order val="2"/>
          <c:tx>
            <c:strRef>
              <c:f>Talenom!$A$6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Talenom!$B$2:$E$3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Talenom!$B$6:$E$6</c:f>
              <c:numCache>
                <c:formatCode>0.0\ %</c:formatCode>
                <c:ptCount val="4"/>
                <c:pt idx="0">
                  <c:v>6.9565217391304349E-2</c:v>
                </c:pt>
                <c:pt idx="1">
                  <c:v>5.0505050505050497E-2</c:v>
                </c:pt>
                <c:pt idx="2">
                  <c:v>0.11752577319587629</c:v>
                </c:pt>
                <c:pt idx="3">
                  <c:v>3.6065573770491792E-2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53-4B15-A7A6-899860196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87359"/>
        <c:axId val="637095519"/>
      </c:lineChart>
      <c:catAx>
        <c:axId val="6371161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9839"/>
        <c:crosses val="autoZero"/>
        <c:auto val="1"/>
        <c:lblAlgn val="ctr"/>
        <c:lblOffset val="100"/>
        <c:noMultiLvlLbl val="0"/>
      </c:catAx>
      <c:valAx>
        <c:axId val="637099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16159"/>
        <c:crosses val="autoZero"/>
        <c:crossBetween val="between"/>
      </c:valAx>
      <c:valAx>
        <c:axId val="63709551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7359"/>
        <c:crosses val="max"/>
        <c:crossBetween val="between"/>
      </c:valAx>
      <c:catAx>
        <c:axId val="6370873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0955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Tecnotree!$A$1</c:f>
          <c:strCache>
            <c:ptCount val="1"/>
            <c:pt idx="0">
              <c:v>TECNOTREE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Tecnotree!$A$4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Tecnotree!$B$2:$E$3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Tecnotree!$B$4:$E$4</c:f>
              <c:numCache>
                <c:formatCode>#\ ##0.0_ ;[Red]\-#\ ##0.0\ </c:formatCode>
                <c:ptCount val="4"/>
                <c:pt idx="0">
                  <c:v>56.2</c:v>
                </c:pt>
                <c:pt idx="1">
                  <c:v>22.2</c:v>
                </c:pt>
                <c:pt idx="2">
                  <c:v>54</c:v>
                </c:pt>
                <c:pt idx="3">
                  <c:v>27.927999999999997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8-46CE-B58D-4D6A752BF126}"/>
            </c:ext>
          </c:extLst>
        </c:ser>
        <c:ser>
          <c:idx val="1"/>
          <c:order val="1"/>
          <c:tx>
            <c:strRef>
              <c:f>Tecnotree!$A$5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Tecnotree!$B$2:$E$3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Tecnotree!$B$5:$E$5</c:f>
              <c:numCache>
                <c:formatCode>#\ ##0.0_ ;[Red]\-#\ ##0.0\ </c:formatCode>
                <c:ptCount val="4"/>
                <c:pt idx="0">
                  <c:v>16</c:v>
                </c:pt>
                <c:pt idx="1">
                  <c:v>7.8000000000000007</c:v>
                </c:pt>
                <c:pt idx="2">
                  <c:v>13</c:v>
                </c:pt>
                <c:pt idx="3">
                  <c:v>13.418000000000003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8-46CE-B58D-4D6A752BF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116159"/>
        <c:axId val="637099839"/>
      </c:barChart>
      <c:lineChart>
        <c:grouping val="standard"/>
        <c:varyColors val="0"/>
        <c:ser>
          <c:idx val="2"/>
          <c:order val="2"/>
          <c:tx>
            <c:strRef>
              <c:f>Tecnotree!$A$6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Tecnotree!$B$2:$E$3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Tecnotree!$B$6:$E$6</c:f>
              <c:numCache>
                <c:formatCode>0.0\ %</c:formatCode>
                <c:ptCount val="4"/>
                <c:pt idx="0">
                  <c:v>0.28469750889679712</c:v>
                </c:pt>
                <c:pt idx="1">
                  <c:v>0.35135135135135137</c:v>
                </c:pt>
                <c:pt idx="2">
                  <c:v>0.24074074074074073</c:v>
                </c:pt>
                <c:pt idx="3">
                  <c:v>0.48044972787167017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18-46CE-B58D-4D6A752BF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87359"/>
        <c:axId val="637095519"/>
      </c:lineChart>
      <c:catAx>
        <c:axId val="6371161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9839"/>
        <c:crosses val="autoZero"/>
        <c:auto val="1"/>
        <c:lblAlgn val="ctr"/>
        <c:lblOffset val="100"/>
        <c:noMultiLvlLbl val="0"/>
      </c:catAx>
      <c:valAx>
        <c:axId val="637099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16159"/>
        <c:crosses val="autoZero"/>
        <c:crossBetween val="between"/>
      </c:valAx>
      <c:valAx>
        <c:axId val="63709551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7359"/>
        <c:crosses val="max"/>
        <c:crossBetween val="between"/>
      </c:valAx>
      <c:catAx>
        <c:axId val="6370873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0955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Titanium!$A$1</c:f>
          <c:strCache>
            <c:ptCount val="1"/>
            <c:pt idx="0">
              <c:v>TITANIUM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Titanium!$A$4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Titanium!$B$2:$E$3</c:f>
              <c:multiLvlStrCache>
                <c:ptCount val="4"/>
                <c:lvl>
                  <c:pt idx="0">
                    <c:v>1-6</c:v>
                  </c:pt>
                  <c:pt idx="1">
                    <c:v>7-12</c:v>
                  </c:pt>
                  <c:pt idx="2">
                    <c:v> 1-6 </c:v>
                  </c:pt>
                  <c:pt idx="3">
                    <c:v>7-12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Titanium!$B$4:$E$4</c:f>
              <c:numCache>
                <c:formatCode>#\ ##0.0_ ;[Red]\-#\ ##0.0\ </c:formatCode>
                <c:ptCount val="4"/>
                <c:pt idx="0">
                  <c:v>13.5</c:v>
                </c:pt>
                <c:pt idx="1">
                  <c:v>12.399999999999999</c:v>
                </c:pt>
                <c:pt idx="2">
                  <c:v>11.5</c:v>
                </c:pt>
                <c:pt idx="3">
                  <c:v>11.100000000000001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D-436B-A837-8D6AEEDD0DB6}"/>
            </c:ext>
          </c:extLst>
        </c:ser>
        <c:ser>
          <c:idx val="1"/>
          <c:order val="1"/>
          <c:tx>
            <c:strRef>
              <c:f>Titanium!$A$5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Titanium!$B$2:$E$3</c:f>
              <c:multiLvlStrCache>
                <c:ptCount val="4"/>
                <c:lvl>
                  <c:pt idx="0">
                    <c:v>1-6</c:v>
                  </c:pt>
                  <c:pt idx="1">
                    <c:v>7-12</c:v>
                  </c:pt>
                  <c:pt idx="2">
                    <c:v> 1-6 </c:v>
                  </c:pt>
                  <c:pt idx="3">
                    <c:v>7-12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Titanium!$B$5:$E$5</c:f>
              <c:numCache>
                <c:formatCode>#\ ##0.0_ ;[Red]\-#\ ##0.0\ </c:formatCode>
                <c:ptCount val="4"/>
                <c:pt idx="0">
                  <c:v>6.7</c:v>
                </c:pt>
                <c:pt idx="1">
                  <c:v>5.8999999999999995</c:v>
                </c:pt>
                <c:pt idx="2">
                  <c:v>5.3</c:v>
                </c:pt>
                <c:pt idx="3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D-436B-A837-8D6AEEDD0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Titanium!$A$6</c:f>
              <c:strCache>
                <c:ptCount val="1"/>
                <c:pt idx="0">
                  <c:v>EBIT%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Titanium!$B$2:$E$3</c:f>
              <c:multiLvlStrCache>
                <c:ptCount val="4"/>
                <c:lvl>
                  <c:pt idx="0">
                    <c:v>1-6</c:v>
                  </c:pt>
                  <c:pt idx="1">
                    <c:v>7-12</c:v>
                  </c:pt>
                  <c:pt idx="2">
                    <c:v> 1-6 </c:v>
                  </c:pt>
                  <c:pt idx="3">
                    <c:v>7-12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Titanium!$B$6:$E$6</c:f>
              <c:numCache>
                <c:formatCode>0.0\ %</c:formatCode>
                <c:ptCount val="4"/>
                <c:pt idx="0">
                  <c:v>0.49629629629629629</c:v>
                </c:pt>
                <c:pt idx="1">
                  <c:v>0.47580645161290325</c:v>
                </c:pt>
                <c:pt idx="2">
                  <c:v>0.46086956521739131</c:v>
                </c:pt>
                <c:pt idx="3">
                  <c:v>0.38738738738738732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FD-436B-A837-8D6AEEDD0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Tokmanni!$A$1</c:f>
          <c:strCache>
            <c:ptCount val="1"/>
            <c:pt idx="0">
              <c:v>TOKMANNI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Tokmanni!$A$4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Tokmanni!$B$2:$E$3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Tokmanni!$B$4:$E$4</c:f>
              <c:numCache>
                <c:formatCode>#\ ##0.0_ ;[Red]\-#\ ##0.0\ </c:formatCode>
                <c:ptCount val="4"/>
                <c:pt idx="0">
                  <c:v>921.4</c:v>
                </c:pt>
                <c:pt idx="1">
                  <c:v>471.30000000000007</c:v>
                </c:pt>
                <c:pt idx="2">
                  <c:v>1178</c:v>
                </c:pt>
                <c:pt idx="3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6-41F5-85FF-918B8B71FB6F}"/>
            </c:ext>
          </c:extLst>
        </c:ser>
        <c:ser>
          <c:idx val="1"/>
          <c:order val="1"/>
          <c:tx>
            <c:strRef>
              <c:f>Tokmanni!$A$5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Tokmanni!$B$2:$E$3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Tokmanni!$B$5:$E$5</c:f>
              <c:numCache>
                <c:formatCode>#\ ##0.0_ ;[Red]\-#\ ##0.0\ </c:formatCode>
                <c:ptCount val="4"/>
                <c:pt idx="0">
                  <c:v>52.6</c:v>
                </c:pt>
                <c:pt idx="1">
                  <c:v>46.199999999999996</c:v>
                </c:pt>
                <c:pt idx="2">
                  <c:v>52.3</c:v>
                </c:pt>
                <c:pt idx="3">
                  <c:v>51.7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6-41F5-85FF-918B8B71F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7113391"/>
        <c:axId val="677100431"/>
      </c:barChart>
      <c:lineChart>
        <c:grouping val="standard"/>
        <c:varyColors val="0"/>
        <c:ser>
          <c:idx val="2"/>
          <c:order val="2"/>
          <c:tx>
            <c:strRef>
              <c:f>Tokmanni!$A$6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Tokmanni!$B$2:$E$3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Tokmanni!$B$6:$E$6</c:f>
              <c:numCache>
                <c:formatCode>0.0\ %</c:formatCode>
                <c:ptCount val="4"/>
                <c:pt idx="0">
                  <c:v>5.7087041458649887E-2</c:v>
                </c:pt>
                <c:pt idx="1">
                  <c:v>9.8026734563971971E-2</c:v>
                </c:pt>
                <c:pt idx="2">
                  <c:v>4.4397283531409162E-2</c:v>
                </c:pt>
                <c:pt idx="3">
                  <c:v>0.1040241448692153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16-41F5-85FF-918B8B71F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114831"/>
        <c:axId val="677109071"/>
      </c:lineChart>
      <c:catAx>
        <c:axId val="6771133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7100431"/>
        <c:crosses val="autoZero"/>
        <c:auto val="1"/>
        <c:lblAlgn val="ctr"/>
        <c:lblOffset val="100"/>
        <c:noMultiLvlLbl val="0"/>
      </c:catAx>
      <c:valAx>
        <c:axId val="677100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7113391"/>
        <c:crosses val="autoZero"/>
        <c:crossBetween val="between"/>
      </c:valAx>
      <c:valAx>
        <c:axId val="67710907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7114831"/>
        <c:crosses val="max"/>
        <c:crossBetween val="between"/>
      </c:valAx>
      <c:catAx>
        <c:axId val="6771148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71090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UPM!$A$1</c:f>
          <c:strCache>
            <c:ptCount val="1"/>
            <c:pt idx="0">
              <c:v>UPM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UPM!$A$4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UPM!$B$2:$E$3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UPM!$B$4:$E$4</c:f>
              <c:numCache>
                <c:formatCode>#\ ##0.0_ ;[Red]\-#\ ##0.0\ </c:formatCode>
                <c:ptCount val="4"/>
                <c:pt idx="0">
                  <c:v>7929</c:v>
                </c:pt>
                <c:pt idx="1">
                  <c:v>2531</c:v>
                </c:pt>
                <c:pt idx="2">
                  <c:v>7707</c:v>
                </c:pt>
                <c:pt idx="3">
                  <c:v>2753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1-4F9A-80BC-6226213C126E}"/>
            </c:ext>
          </c:extLst>
        </c:ser>
        <c:ser>
          <c:idx val="1"/>
          <c:order val="1"/>
          <c:tx>
            <c:strRef>
              <c:f>UPM!$A$5</c:f>
              <c:strCache>
                <c:ptCount val="1"/>
                <c:pt idx="0">
                  <c:v>EBIT adjusted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UPM!$B$2:$E$3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UPM!$B$5:$E$5</c:f>
              <c:numCache>
                <c:formatCode>#\ ##0.0_ ;[Red]\-#\ ##0.0\ </c:formatCode>
                <c:ptCount val="4"/>
                <c:pt idx="0">
                  <c:v>689</c:v>
                </c:pt>
                <c:pt idx="1">
                  <c:v>324</c:v>
                </c:pt>
                <c:pt idx="2">
                  <c:v>806</c:v>
                </c:pt>
                <c:pt idx="3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E1-4F9A-80BC-6226213C1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UPM!$A$6</c:f>
              <c:strCache>
                <c:ptCount val="1"/>
                <c:pt idx="0">
                  <c:v>EBIT%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UPM!$B$2:$E$3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UPM!$B$6:$E$6</c:f>
              <c:numCache>
                <c:formatCode>0.0\ %</c:formatCode>
                <c:ptCount val="4"/>
                <c:pt idx="0">
                  <c:v>8.6896203808803127E-2</c:v>
                </c:pt>
                <c:pt idx="1">
                  <c:v>0.12801264322402212</c:v>
                </c:pt>
                <c:pt idx="2">
                  <c:v>0.1045802517192163</c:v>
                </c:pt>
                <c:pt idx="3">
                  <c:v>0.1173265528514348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E1-4F9A-80BC-6226213C1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Valmet!$A$1</c:f>
          <c:strCache>
            <c:ptCount val="1"/>
            <c:pt idx="0">
              <c:v>VALMET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Valmet!$A$4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Valmet!$B$2:$E$3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Valmet!$B$4:$E$4</c:f>
              <c:numCache>
                <c:formatCode>#\ ##0.0_ ;[Red]\-#\ ##0.0\ </c:formatCode>
                <c:ptCount val="4"/>
                <c:pt idx="0">
                  <c:v>4033</c:v>
                </c:pt>
                <c:pt idx="1">
                  <c:v>1499</c:v>
                </c:pt>
                <c:pt idx="2">
                  <c:v>3831</c:v>
                </c:pt>
                <c:pt idx="3">
                  <c:v>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F-4C1E-8D21-9921D9C18CB2}"/>
            </c:ext>
          </c:extLst>
        </c:ser>
        <c:ser>
          <c:idx val="1"/>
          <c:order val="1"/>
          <c:tx>
            <c:strRef>
              <c:f>Valmet!$A$5</c:f>
              <c:strCache>
                <c:ptCount val="1"/>
                <c:pt idx="0">
                  <c:v>EBITA adjusted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Valmet!$B$2:$E$3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Valmet!$B$5:$E$5</c:f>
              <c:numCache>
                <c:formatCode>#\ ##0.0_ ;[Red]\-#\ ##0.0\ </c:formatCode>
                <c:ptCount val="4"/>
                <c:pt idx="0">
                  <c:v>383</c:v>
                </c:pt>
                <c:pt idx="1">
                  <c:v>236</c:v>
                </c:pt>
                <c:pt idx="2">
                  <c:v>417</c:v>
                </c:pt>
                <c:pt idx="3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F-4C1E-8D21-9921D9C18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Valmet!$A$6</c:f>
              <c:strCache>
                <c:ptCount val="1"/>
                <c:pt idx="0">
                  <c:v>EBITA%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Valmet!$B$2:$E$3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Valmet!$B$6:$E$6</c:f>
              <c:numCache>
                <c:formatCode>0.0\ %</c:formatCode>
                <c:ptCount val="4"/>
                <c:pt idx="0">
                  <c:v>9.4966526159186715E-2</c:v>
                </c:pt>
                <c:pt idx="1">
                  <c:v>0.15743829219479652</c:v>
                </c:pt>
                <c:pt idx="2">
                  <c:v>0.10884886452623337</c:v>
                </c:pt>
                <c:pt idx="3">
                  <c:v>0.11875367430922987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6F-4C1E-8D21-9921D9C18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Volvo!$A$1</c:f>
          <c:strCache>
            <c:ptCount val="1"/>
            <c:pt idx="0">
              <c:v>VOLVO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Volvo!$A$4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Volvo!$B$2:$E$3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Volvo!$B$4:$E$4</c:f>
              <c:numCache>
                <c:formatCode>#\ ##0.0_ ;[Red]\-#\ ##0.0\ </c:formatCode>
                <c:ptCount val="4"/>
                <c:pt idx="0">
                  <c:v>404646</c:v>
                </c:pt>
                <c:pt idx="1">
                  <c:v>148117</c:v>
                </c:pt>
                <c:pt idx="2">
                  <c:v>388404</c:v>
                </c:pt>
                <c:pt idx="3">
                  <c:v>128321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3-486E-834F-2CEDB088244A}"/>
            </c:ext>
          </c:extLst>
        </c:ser>
        <c:ser>
          <c:idx val="1"/>
          <c:order val="1"/>
          <c:tx>
            <c:strRef>
              <c:f>Volvo!$A$5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Volvo!$B$2:$E$3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Volvo!$B$5:$E$5</c:f>
              <c:numCache>
                <c:formatCode>#\ ##0.0_ ;[Red]\-#\ ##0.0\ </c:formatCode>
                <c:ptCount val="4"/>
                <c:pt idx="0">
                  <c:v>59255</c:v>
                </c:pt>
                <c:pt idx="1">
                  <c:v>18384</c:v>
                </c:pt>
                <c:pt idx="2">
                  <c:v>51679</c:v>
                </c:pt>
                <c:pt idx="3">
                  <c:v>14277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F3-486E-834F-2CEDB0882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85439"/>
        <c:axId val="637105119"/>
      </c:barChart>
      <c:lineChart>
        <c:grouping val="standard"/>
        <c:varyColors val="0"/>
        <c:ser>
          <c:idx val="2"/>
          <c:order val="2"/>
          <c:tx>
            <c:strRef>
              <c:f>Volvo!$A$6</c:f>
              <c:strCache>
                <c:ptCount val="1"/>
                <c:pt idx="0">
                  <c:v>EBIT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Volvo!$B$2:$E$3</c:f>
              <c:multiLvlStrCache>
                <c:ptCount val="4"/>
                <c:lvl>
                  <c:pt idx="0">
                    <c:v>1-9</c:v>
                  </c:pt>
                  <c:pt idx="1">
                    <c:v>10-12</c:v>
                  </c:pt>
                  <c:pt idx="2">
                    <c:v> 1-9 </c:v>
                  </c:pt>
                  <c:pt idx="3">
                    <c:v>10-12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 2 024 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Volvo!$B$6:$E$6</c:f>
              <c:numCache>
                <c:formatCode>0.0\ %</c:formatCode>
                <c:ptCount val="4"/>
                <c:pt idx="0">
                  <c:v>0.1464366384444675</c:v>
                </c:pt>
                <c:pt idx="1">
                  <c:v>0.12411809582964818</c:v>
                </c:pt>
                <c:pt idx="2">
                  <c:v>0.13305475741753431</c:v>
                </c:pt>
                <c:pt idx="3">
                  <c:v>0.11126004317298026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F3-486E-834F-2CEDB0882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95039"/>
        <c:axId val="637109439"/>
      </c:lineChart>
      <c:catAx>
        <c:axId val="63708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105119"/>
        <c:crosses val="autoZero"/>
        <c:auto val="1"/>
        <c:lblAlgn val="ctr"/>
        <c:lblOffset val="100"/>
        <c:noMultiLvlLbl val="0"/>
      </c:catAx>
      <c:valAx>
        <c:axId val="6371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Sales/EBIT/EBITDA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85439"/>
        <c:crosses val="autoZero"/>
        <c:crossBetween val="between"/>
      </c:valAx>
      <c:valAx>
        <c:axId val="637109439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EBIT/EBITDA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7095039"/>
        <c:crosses val="max"/>
        <c:crossBetween val="between"/>
      </c:valAx>
      <c:catAx>
        <c:axId val="6370950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109439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180974</xdr:rowOff>
    </xdr:from>
    <xdr:to>
      <xdr:col>8</xdr:col>
      <xdr:colOff>1381125</xdr:colOff>
      <xdr:row>26</xdr:row>
      <xdr:rowOff>9525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2474EF12-2BCF-40F2-94C3-2100FD5B8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0</xdr:rowOff>
    </xdr:from>
    <xdr:to>
      <xdr:col>8</xdr:col>
      <xdr:colOff>1457325</xdr:colOff>
      <xdr:row>26</xdr:row>
      <xdr:rowOff>28575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6E02B349-213B-4284-8068-183548F6A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171450</xdr:rowOff>
    </xdr:from>
    <xdr:to>
      <xdr:col>8</xdr:col>
      <xdr:colOff>1466850</xdr:colOff>
      <xdr:row>26</xdr:row>
      <xdr:rowOff>9525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27C48DD-0CDA-4AC0-AE3E-22120642E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0</xdr:rowOff>
    </xdr:from>
    <xdr:to>
      <xdr:col>8</xdr:col>
      <xdr:colOff>1457325</xdr:colOff>
      <xdr:row>26</xdr:row>
      <xdr:rowOff>19050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F86512B0-0AB3-4AA2-A7BE-DB2F16C12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9525</xdr:rowOff>
    </xdr:from>
    <xdr:to>
      <xdr:col>8</xdr:col>
      <xdr:colOff>1419225</xdr:colOff>
      <xdr:row>26</xdr:row>
      <xdr:rowOff>19050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4EDD3E0-9207-41D3-B1C4-D255D909F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6</xdr:row>
      <xdr:rowOff>180975</xdr:rowOff>
    </xdr:from>
    <xdr:to>
      <xdr:col>8</xdr:col>
      <xdr:colOff>1438275</xdr:colOff>
      <xdr:row>26</xdr:row>
      <xdr:rowOff>9525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6139D259-45C2-450E-87A7-8E56FEA9B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9525</xdr:rowOff>
    </xdr:from>
    <xdr:to>
      <xdr:col>8</xdr:col>
      <xdr:colOff>1457325</xdr:colOff>
      <xdr:row>26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6294DF5C-C162-45D9-88B8-BC7162F46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19051</xdr:rowOff>
    </xdr:from>
    <xdr:to>
      <xdr:col>8</xdr:col>
      <xdr:colOff>1457325</xdr:colOff>
      <xdr:row>25</xdr:row>
      <xdr:rowOff>76201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98723883-3762-467C-BDB0-094A721F9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1</xdr:rowOff>
    </xdr:from>
    <xdr:to>
      <xdr:col>8</xdr:col>
      <xdr:colOff>1457325</xdr:colOff>
      <xdr:row>26</xdr:row>
      <xdr:rowOff>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B50F2D60-1092-41F1-B3F1-581911DD3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7</xdr:row>
      <xdr:rowOff>9525</xdr:rowOff>
    </xdr:from>
    <xdr:to>
      <xdr:col>8</xdr:col>
      <xdr:colOff>1466850</xdr:colOff>
      <xdr:row>26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D7AF7746-88DE-4D23-B4DD-029993FF3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8</xdr:col>
      <xdr:colOff>1438274</xdr:colOff>
      <xdr:row>26</xdr:row>
      <xdr:rowOff>9525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EC349D5D-84F8-8CDE-7FCB-B75630638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1</xdr:rowOff>
    </xdr:from>
    <xdr:to>
      <xdr:col>8</xdr:col>
      <xdr:colOff>1457325</xdr:colOff>
      <xdr:row>26</xdr:row>
      <xdr:rowOff>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A74860BA-C0CF-4408-A3B6-F0FE806FF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9525</xdr:rowOff>
    </xdr:from>
    <xdr:to>
      <xdr:col>8</xdr:col>
      <xdr:colOff>1457325</xdr:colOff>
      <xdr:row>26</xdr:row>
      <xdr:rowOff>9525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703B264E-DE2B-42E5-981A-803B2DB76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8</xdr:col>
      <xdr:colOff>1390650</xdr:colOff>
      <xdr:row>26</xdr:row>
      <xdr:rowOff>9525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C7EB5C08-3ACC-4AE6-A03F-408599217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14</xdr:row>
      <xdr:rowOff>19049</xdr:rowOff>
    </xdr:from>
    <xdr:to>
      <xdr:col>9</xdr:col>
      <xdr:colOff>171449</xdr:colOff>
      <xdr:row>32</xdr:row>
      <xdr:rowOff>38100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CF7DAED5-170A-4B2A-9734-EF39A6D1C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180975</xdr:rowOff>
    </xdr:from>
    <xdr:to>
      <xdr:col>8</xdr:col>
      <xdr:colOff>1381125</xdr:colOff>
      <xdr:row>26</xdr:row>
      <xdr:rowOff>9525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2BC950B3-908D-4CE5-877F-E0B1B1F70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180975</xdr:rowOff>
    </xdr:from>
    <xdr:to>
      <xdr:col>8</xdr:col>
      <xdr:colOff>1390650</xdr:colOff>
      <xdr:row>25</xdr:row>
      <xdr:rowOff>180975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ADA3BD04-EF5B-4B66-BB4D-96505871B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0</xdr:rowOff>
    </xdr:from>
    <xdr:to>
      <xdr:col>8</xdr:col>
      <xdr:colOff>1438275</xdr:colOff>
      <xdr:row>26</xdr:row>
      <xdr:rowOff>9525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44C09BCC-F1FD-4E2C-A25B-83C246163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8</xdr:col>
      <xdr:colOff>1471083</xdr:colOff>
      <xdr:row>25</xdr:row>
      <xdr:rowOff>180975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76623389-3B2A-44CF-B05A-016BFD2C6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180974</xdr:rowOff>
    </xdr:from>
    <xdr:to>
      <xdr:col>9</xdr:col>
      <xdr:colOff>9525</xdr:colOff>
      <xdr:row>25</xdr:row>
      <xdr:rowOff>190499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A0DA77A5-1F6F-4CAF-0B06-DB2E4093C9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180975</xdr:rowOff>
    </xdr:from>
    <xdr:to>
      <xdr:col>8</xdr:col>
      <xdr:colOff>1438275</xdr:colOff>
      <xdr:row>28</xdr:row>
      <xdr:rowOff>66675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8FF65CA8-F43C-4D09-A91E-DD3FA7ABD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180975</xdr:rowOff>
    </xdr:from>
    <xdr:to>
      <xdr:col>8</xdr:col>
      <xdr:colOff>1438275</xdr:colOff>
      <xdr:row>28</xdr:row>
      <xdr:rowOff>66675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97D35FBC-3B2F-4C58-9E2C-9337A38E3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180975</xdr:rowOff>
    </xdr:from>
    <xdr:to>
      <xdr:col>8</xdr:col>
      <xdr:colOff>1457325</xdr:colOff>
      <xdr:row>26</xdr:row>
      <xdr:rowOff>9525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5282CE86-F0DC-40E2-B3F4-C0D4675E1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</xdr:row>
      <xdr:rowOff>0</xdr:rowOff>
    </xdr:from>
    <xdr:to>
      <xdr:col>9</xdr:col>
      <xdr:colOff>9525</xdr:colOff>
      <xdr:row>26</xdr:row>
      <xdr:rowOff>19050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C49D7E7E-4B49-4D07-B929-6F11B34DA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9525</xdr:rowOff>
    </xdr:from>
    <xdr:to>
      <xdr:col>8</xdr:col>
      <xdr:colOff>1390650</xdr:colOff>
      <xdr:row>25</xdr:row>
      <xdr:rowOff>161925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DE1E91EA-FCC1-4BC3-B957-E718EA92B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9</xdr:col>
      <xdr:colOff>0</xdr:colOff>
      <xdr:row>25</xdr:row>
      <xdr:rowOff>171451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E78208C2-1F22-4E71-801D-E5E520B6D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9525</xdr:rowOff>
    </xdr:from>
    <xdr:to>
      <xdr:col>8</xdr:col>
      <xdr:colOff>1457325</xdr:colOff>
      <xdr:row>26</xdr:row>
      <xdr:rowOff>19050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7C78BE5F-7571-49B1-B9A2-EDDE3C3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9</xdr:col>
      <xdr:colOff>0</xdr:colOff>
      <xdr:row>25</xdr:row>
      <xdr:rowOff>171451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27C605AF-70C1-5336-EBC9-27BC454FFD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9525</xdr:rowOff>
    </xdr:from>
    <xdr:to>
      <xdr:col>8</xdr:col>
      <xdr:colOff>1390650</xdr:colOff>
      <xdr:row>25</xdr:row>
      <xdr:rowOff>180975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E9FBBC36-2026-4F60-BACC-2DF3E2AF8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8</xdr:col>
      <xdr:colOff>1476374</xdr:colOff>
      <xdr:row>26</xdr:row>
      <xdr:rowOff>9525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59C3DF1F-B206-49D9-9D8D-6243D80F5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8</xdr:col>
      <xdr:colOff>1476374</xdr:colOff>
      <xdr:row>26</xdr:row>
      <xdr:rowOff>9525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17919AC-5EB9-4103-A611-C4C89BF2F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8</xdr:col>
      <xdr:colOff>1476374</xdr:colOff>
      <xdr:row>26</xdr:row>
      <xdr:rowOff>9525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BB31130B-8D76-5858-C982-3EFFF0DA05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8</xdr:col>
      <xdr:colOff>1381125</xdr:colOff>
      <xdr:row>26</xdr:row>
      <xdr:rowOff>9525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15CB767C-D531-4F2F-A917-51506DC3D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0</xdr:rowOff>
    </xdr:from>
    <xdr:to>
      <xdr:col>8</xdr:col>
      <xdr:colOff>1447800</xdr:colOff>
      <xdr:row>26</xdr:row>
      <xdr:rowOff>9525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C734641B-7A0D-49D3-B849-3CEC7F533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9525</xdr:rowOff>
    </xdr:from>
    <xdr:to>
      <xdr:col>8</xdr:col>
      <xdr:colOff>1457325</xdr:colOff>
      <xdr:row>25</xdr:row>
      <xdr:rowOff>180975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8C52E1F9-AE9A-FDFA-B813-6E1D50AB2F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9525</xdr:rowOff>
    </xdr:from>
    <xdr:to>
      <xdr:col>9</xdr:col>
      <xdr:colOff>19049</xdr:colOff>
      <xdr:row>26</xdr:row>
      <xdr:rowOff>9525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71C52D50-90A5-41C1-A5DC-F60006299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9525</xdr:rowOff>
    </xdr:from>
    <xdr:to>
      <xdr:col>9</xdr:col>
      <xdr:colOff>19049</xdr:colOff>
      <xdr:row>26</xdr:row>
      <xdr:rowOff>9525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B9055DCA-CB78-28B1-D006-E46E9F5BBB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0</xdr:rowOff>
    </xdr:from>
    <xdr:to>
      <xdr:col>8</xdr:col>
      <xdr:colOff>1447800</xdr:colOff>
      <xdr:row>25</xdr:row>
      <xdr:rowOff>161925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CB560016-C588-4430-A39F-CC5C2EF91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7</xdr:row>
      <xdr:rowOff>0</xdr:rowOff>
    </xdr:from>
    <xdr:to>
      <xdr:col>9</xdr:col>
      <xdr:colOff>19049</xdr:colOff>
      <xdr:row>25</xdr:row>
      <xdr:rowOff>161926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2A1BFD1C-E500-9F6A-829A-09F4949166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9525</xdr:rowOff>
    </xdr:from>
    <xdr:to>
      <xdr:col>8</xdr:col>
      <xdr:colOff>1447800</xdr:colOff>
      <xdr:row>26</xdr:row>
      <xdr:rowOff>9525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3DF278FE-D257-46B4-8F89-181B9845A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9525</xdr:rowOff>
    </xdr:from>
    <xdr:to>
      <xdr:col>8</xdr:col>
      <xdr:colOff>1447800</xdr:colOff>
      <xdr:row>26</xdr:row>
      <xdr:rowOff>9525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FED2FCBF-EACF-49E0-A510-D55A261FE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7</xdr:row>
      <xdr:rowOff>0</xdr:rowOff>
    </xdr:from>
    <xdr:to>
      <xdr:col>8</xdr:col>
      <xdr:colOff>1466850</xdr:colOff>
      <xdr:row>26</xdr:row>
      <xdr:rowOff>9525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9CA23B3A-DC55-40D1-B04B-0560F5519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967298B1-865D-40B5-9C67-98797316DF13}">
    <nsvFilter filterId="{C274059C-3007-4A7B-859E-661726CCBE36}" ref="A3:S46" tableId="1">
      <columnFilter colId="7" id="{363E78FA-85BD-4579-A367-F1023958B037}">
        <filter colId="7">
          <x:filters>
            <x:filter val="1"/>
          </x:filters>
        </filter>
      </columnFilter>
      <sortRules>
        <sortRule colId="0" id="{B44923E4-5C69-4CFA-9399-29A2B983C2BA}">
          <sortCondition ref="A3:A46"/>
        </sortRule>
      </sortRules>
    </nsvFilter>
  </namedSheetView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Marjaana Paakkari" id="{D9C2F1DC-989F-4F24-8CFB-C926774A02AA}" userId="" providerId="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74059C-3007-4A7B-859E-661726CCBE36}" name="Taulukko1" displayName="Taulukko1" ref="A3:S46" totalsRowShown="0">
  <autoFilter ref="A3:S46" xr:uid="{C274059C-3007-4A7B-859E-661726CCBE36}"/>
  <sortState xmlns:xlrd2="http://schemas.microsoft.com/office/spreadsheetml/2017/richdata2" ref="A4:S46">
    <sortCondition descending="1" ref="S4:S46"/>
  </sortState>
  <tableColumns count="19">
    <tableColumn id="1" xr3:uid="{B44923E4-5C69-4CFA-9399-29A2B983C2BA}" name="Company"/>
    <tableColumn id="2" xr3:uid="{26D38433-F9DE-45F6-92F4-C399083F60DB}" name="Country"/>
    <tableColumn id="4" xr3:uid="{D6269894-0578-4102-AD30-FC070BC158B3}" name="Guidance" dataDxfId="24">
      <calculatedColumnFormula array="1">INDIRECT(Taulukko1[[#This Row],[Evaluation]])</calculatedColumnFormula>
    </tableColumn>
    <tableColumn id="11" xr3:uid="{E5231524-23C5-420F-A5D6-0A8027495F39}" name="EBIT/EBITDA% 1-9" dataDxfId="23">
      <calculatedColumnFormula array="1">INDIRECT(Taulukko1[[#This Row],[EBIT1-6%]])</calculatedColumnFormula>
    </tableColumn>
    <tableColumn id="12" xr3:uid="{71254B0C-E534-48FB-A161-A65BF6E9BCFF}" name="EBIT/EBITDA% 10-12 needed" dataDxfId="22">
      <calculatedColumnFormula array="1">INDIRECT(Taulukko1[[#This Row],[EBIT7-12%]])</calculatedColumnFormula>
    </tableColumn>
    <tableColumn id="13" xr3:uid="{1CEC7DA2-B3E6-47A5-A649-FD83B144FC19}" name="EBIT/EBITDA% full year guidance/consensus" dataDxfId="21">
      <calculatedColumnFormula array="1">INDIRECT(Taulukko1[[#This Row],[EBITfullyear%]])</calculatedColumnFormula>
    </tableColumn>
    <tableColumn id="17" xr3:uid="{92021371-EBF6-4AC0-95F6-548CFC82D7CC}" name="ProfitWarningIssued?" dataDxfId="20"/>
    <tableColumn id="18" xr3:uid="{363E78FA-85BD-4579-A367-F1023958B037}" name="Updated" dataDxfId="19"/>
    <tableColumn id="3" xr3:uid="{257845CA-9926-4CC0-B86A-05E521F5720B}" name="Evaluation" dataDxfId="18">
      <calculatedColumnFormula>Taulukko1[[#This Row],[Company]]&amp;"!f1"</calculatedColumnFormula>
    </tableColumn>
    <tableColumn id="7" xr3:uid="{540CB767-15EC-49CF-A575-8F6FD2206177}" name="RTD1" dataDxfId="17">
      <calculatedColumnFormula>Taulukko1[[#This Row],[Company]]&amp;"!g4"</calculatedColumnFormula>
    </tableColumn>
    <tableColumn id="8" xr3:uid="{B1F2F2D6-C197-4D52-80E6-75513207B885}" name="RTD2" dataDxfId="16">
      <calculatedColumnFormula>Taulukko1[[#This Row],[Company]]&amp;"!g5"</calculatedColumnFormula>
    </tableColumn>
    <tableColumn id="10" xr3:uid="{451C1531-4024-42A9-9F9F-ABC51D0B5D8C}" name="RTD3" dataDxfId="15">
      <calculatedColumnFormula>Taulukko1[[#This Row],[Company]]&amp;"!g6"</calculatedColumnFormula>
    </tableColumn>
    <tableColumn id="16" xr3:uid="{A1E02A8D-FD47-4307-AAF2-1847F6DA5751}" name="EBIT1-6%" dataDxfId="14">
      <calculatedColumnFormula>Taulukko1[[#This Row],[Company]]&amp;"!d6"</calculatedColumnFormula>
    </tableColumn>
    <tableColumn id="15" xr3:uid="{6311DF18-8223-4716-8A6A-231FB0E01F76}" name="EBIT7-12%" dataDxfId="13">
      <calculatedColumnFormula>Taulukko1[[#This Row],[Company]]&amp;"!e6"</calculatedColumnFormula>
    </tableColumn>
    <tableColumn id="14" xr3:uid="{E026A6DB-851E-4A34-A87F-40704D0F1C38}" name="EBITfullyear%" dataDxfId="12">
      <calculatedColumnFormula>Taulukko1[[#This Row],[Company]]&amp;"!f6"</calculatedColumnFormula>
    </tableColumn>
    <tableColumn id="5" xr3:uid="{F4E4518F-836B-4CC8-9F21-607430E1CD94}" name="RTA Revenue" dataDxfId="11">
      <calculatedColumnFormula array="1">INDIRECT(Taulukko1[[#This Row],[RTD1]])</calculatedColumnFormula>
    </tableColumn>
    <tableColumn id="6" xr3:uid="{BB4D7DA0-1F98-4761-9EFC-2914585A0991}" name="RTA EBIT/EBITDA" dataDxfId="10">
      <calculatedColumnFormula array="1">INDIRECT(Taulukko1[[#This Row],[RTD2]])</calculatedColumnFormula>
    </tableColumn>
    <tableColumn id="9" xr3:uid="{E199F398-DCFA-4888-9991-1225977F3F8D}" name="RTA EBIT/EBITDA%" dataDxfId="9">
      <calculatedColumnFormula array="1">INDIRECT(Taulukko1[[#This Row],[RTD3]])</calculatedColumnFormula>
    </tableColumn>
    <tableColumn id="19" xr3:uid="{69692530-F5FF-4D6C-BA5F-72BA71DC10E5}" name="Rank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4" dT="2024-08-12T09:33:33.00" personId="{D9C2F1DC-989F-4F24-8CFB-C926774A02AA}" id="{042BE5A1-D466-421B-A069-47971152896A}">
    <text>Yksinkertainen on kaunista. 80-luvn opit pätevät edelleen!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81A2D-59F3-4902-AD2E-DFC224EE1395}">
  <sheetPr codeName="Taul11">
    <tabColor rgb="FF92D050"/>
    <pageSetUpPr fitToPage="1"/>
  </sheetPr>
  <dimension ref="A1:S46"/>
  <sheetViews>
    <sheetView tabSelected="1" zoomScale="90" zoomScaleNormal="90" workbookViewId="0"/>
  </sheetViews>
  <sheetFormatPr defaultColWidth="18.28515625" defaultRowHeight="15" x14ac:dyDescent="0.25"/>
  <cols>
    <col min="3" max="3" width="20.5703125" bestFit="1" customWidth="1"/>
    <col min="9" max="10" width="0" hidden="1" customWidth="1"/>
    <col min="11" max="12" width="0" style="33" hidden="1" customWidth="1"/>
    <col min="13" max="17" width="0" hidden="1" customWidth="1"/>
    <col min="18" max="18" width="0" style="44" hidden="1" customWidth="1"/>
    <col min="19" max="19" width="18.28515625" style="44"/>
  </cols>
  <sheetData>
    <row r="1" spans="1:19" x14ac:dyDescent="0.25">
      <c r="A1" s="4" t="s">
        <v>0</v>
      </c>
      <c r="D1" s="4"/>
      <c r="H1" s="49" t="s">
        <v>18</v>
      </c>
      <c r="I1" s="22"/>
      <c r="J1" s="22"/>
      <c r="K1" s="22"/>
      <c r="L1" s="22"/>
      <c r="M1" s="22"/>
      <c r="N1" s="22"/>
      <c r="O1" s="22"/>
      <c r="P1" s="50"/>
      <c r="Q1" s="50"/>
      <c r="R1" s="22"/>
      <c r="S1" s="51">
        <v>45673</v>
      </c>
    </row>
    <row r="2" spans="1:19" x14ac:dyDescent="0.25">
      <c r="A2" s="4"/>
      <c r="H2" s="44"/>
      <c r="K2"/>
      <c r="L2"/>
      <c r="P2" s="33"/>
      <c r="Q2" s="33"/>
      <c r="R2"/>
    </row>
    <row r="3" spans="1:19" x14ac:dyDescent="0.25">
      <c r="A3" t="s">
        <v>1</v>
      </c>
      <c r="B3" t="s">
        <v>2</v>
      </c>
      <c r="C3" t="s">
        <v>10</v>
      </c>
      <c r="D3" t="s">
        <v>14</v>
      </c>
      <c r="E3" t="s">
        <v>15</v>
      </c>
      <c r="F3" t="s">
        <v>16</v>
      </c>
      <c r="G3" t="s">
        <v>17</v>
      </c>
      <c r="H3" s="44" t="s">
        <v>18</v>
      </c>
      <c r="I3" t="s">
        <v>3</v>
      </c>
      <c r="J3" t="s">
        <v>4</v>
      </c>
      <c r="K3" t="s">
        <v>5</v>
      </c>
      <c r="L3" t="s">
        <v>6</v>
      </c>
      <c r="M3" t="s">
        <v>7</v>
      </c>
      <c r="N3" t="s">
        <v>8</v>
      </c>
      <c r="O3" t="s">
        <v>9</v>
      </c>
      <c r="P3" s="33" t="s">
        <v>11</v>
      </c>
      <c r="Q3" s="33" t="s">
        <v>12</v>
      </c>
      <c r="R3" t="s">
        <v>13</v>
      </c>
      <c r="S3" s="44" t="s">
        <v>147</v>
      </c>
    </row>
    <row r="4" spans="1:19" x14ac:dyDescent="0.25">
      <c r="A4" s="19" t="s">
        <v>29</v>
      </c>
      <c r="B4" s="21" t="s">
        <v>20</v>
      </c>
      <c r="C4" t="str" cm="1">
        <f t="array" aca="1" ref="C4" ca="1">INDIRECT(Taulukko1[[#This Row],[Evaluation]])</f>
        <v>Not realistic consensus</v>
      </c>
      <c r="D4" s="33" cm="1">
        <f t="array" aca="1" ref="D4" ca="1">INDIRECT(Taulukko1[[#This Row],[EBIT1-6%]])</f>
        <v>0.25400457665903886</v>
      </c>
      <c r="E4" s="33" cm="1">
        <f t="array" aca="1" ref="E4" ca="1">INDIRECT(Taulukko1[[#This Row],[EBIT7-12%]])</f>
        <v>0.50555555555555554</v>
      </c>
      <c r="F4" s="33" cm="1">
        <f t="array" aca="1" ref="F4" ca="1">INDIRECT(Taulukko1[[#This Row],[EBITfullyear%]])</f>
        <v>0.32739059967585088</v>
      </c>
      <c r="G4" s="33"/>
      <c r="H4" s="44">
        <v>1</v>
      </c>
      <c r="I4" t="str">
        <f>Taulukko1[[#This Row],[Company]]&amp;"!f1"</f>
        <v>Capman!f1</v>
      </c>
      <c r="J4" t="str">
        <f>Taulukko1[[#This Row],[Company]]&amp;"!g4"</f>
        <v>Capman!g4</v>
      </c>
      <c r="K4" t="str">
        <f>Taulukko1[[#This Row],[Company]]&amp;"!g5"</f>
        <v>Capman!g5</v>
      </c>
      <c r="L4" t="str">
        <f>Taulukko1[[#This Row],[Company]]&amp;"!g6"</f>
        <v>Capman!g6</v>
      </c>
      <c r="M4" t="str">
        <f>Taulukko1[[#This Row],[Company]]&amp;"!d6"</f>
        <v>Capman!d6</v>
      </c>
      <c r="N4" t="str">
        <f>Taulukko1[[#This Row],[Company]]&amp;"!e6"</f>
        <v>Capman!e6</v>
      </c>
      <c r="O4" t="str">
        <f>Taulukko1[[#This Row],[Company]]&amp;"!f6"</f>
        <v>Capman!f6</v>
      </c>
      <c r="P4" s="33" cm="1">
        <f t="array" aca="1" ref="P4" ca="1">INDIRECT(Taulukko1[[#This Row],[RTD1]])</f>
        <v>-3.5320088300220598E-2</v>
      </c>
      <c r="Q4" s="33" cm="1">
        <f t="array" aca="1" ref="Q4" ca="1">INDIRECT(Taulukko1[[#This Row],[RTD2]])</f>
        <v>0.1684210526315788</v>
      </c>
      <c r="R4" s="33" cm="1">
        <f t="array" aca="1" ref="R4" ca="1">INDIRECT(Taulukko1[[#This Row],[RTD3]])</f>
        <v>0</v>
      </c>
      <c r="S4" s="44">
        <v>4</v>
      </c>
    </row>
    <row r="5" spans="1:19" x14ac:dyDescent="0.25">
      <c r="A5" s="19" t="s">
        <v>33</v>
      </c>
      <c r="B5" s="21" t="s">
        <v>20</v>
      </c>
      <c r="C5" s="22" t="str" cm="1">
        <f t="array" aca="1" ref="C5" ca="1">INDIRECT(Taulukko1[[#This Row],[Evaluation]])</f>
        <v>Not realistic guidance</v>
      </c>
      <c r="D5" s="33" cm="1">
        <f t="array" aca="1" ref="D5" ca="1">INDIRECT(Taulukko1[[#This Row],[EBIT1-6%]])</f>
        <v>8.3546773996828888E-2</v>
      </c>
      <c r="E5" s="33" cm="1">
        <f t="array" aca="1" ref="E5" ca="1">INDIRECT(Taulukko1[[#This Row],[EBIT7-12%]])</f>
        <v>0.12156988694758473</v>
      </c>
      <c r="F5" s="33" cm="1">
        <f t="array" aca="1" ref="F5" ca="1">INDIRECT(Taulukko1[[#This Row],[EBITfullyear%]])</f>
        <v>9.578612190885781E-2</v>
      </c>
      <c r="G5" s="33"/>
      <c r="H5" s="44">
        <v>1</v>
      </c>
      <c r="I5" t="str">
        <f>Taulukko1[[#This Row],[Company]]&amp;"!f1"</f>
        <v>Fiskars!f1</v>
      </c>
      <c r="J5" t="str">
        <f>Taulukko1[[#This Row],[Company]]&amp;"!g4"</f>
        <v>Fiskars!g4</v>
      </c>
      <c r="K5" t="str">
        <f>Taulukko1[[#This Row],[Company]]&amp;"!g5"</f>
        <v>Fiskars!g5</v>
      </c>
      <c r="L5" t="str">
        <f>Taulukko1[[#This Row],[Company]]&amp;"!g6"</f>
        <v>Fiskars!g6</v>
      </c>
      <c r="M5" t="str">
        <f>Taulukko1[[#This Row],[Company]]&amp;"!d6"</f>
        <v>Fiskars!d6</v>
      </c>
      <c r="N5" t="str">
        <f>Taulukko1[[#This Row],[Company]]&amp;"!e6"</f>
        <v>Fiskars!e6</v>
      </c>
      <c r="O5" t="str">
        <f>Taulukko1[[#This Row],[Company]]&amp;"!f6"</f>
        <v>Fiskars!f6</v>
      </c>
      <c r="P5" s="33" cm="1">
        <f t="array" aca="1" ref="P5" ca="1">INDIRECT(Taulukko1[[#This Row],[RTD1]])</f>
        <v>4.5790816326530592E-2</v>
      </c>
      <c r="Q5" s="33" cm="1">
        <f t="array" aca="1" ref="Q5" ca="1">INDIRECT(Taulukko1[[#This Row],[RTD2]])</f>
        <v>5.5469953775038494E-2</v>
      </c>
      <c r="R5" s="33" cm="1">
        <f t="array" aca="1" ref="R5" ca="1">INDIRECT(Taulukko1[[#This Row],[RTD3]])</f>
        <v>0</v>
      </c>
      <c r="S5" s="44">
        <v>4</v>
      </c>
    </row>
    <row r="6" spans="1:19" x14ac:dyDescent="0.25">
      <c r="A6" s="19" t="s">
        <v>36</v>
      </c>
      <c r="B6" s="21" t="s">
        <v>20</v>
      </c>
      <c r="C6" s="22" t="str" cm="1">
        <f t="array" aca="1" ref="C6" ca="1">INDIRECT(Taulukko1[[#This Row],[Evaluation]])</f>
        <v>Not realistic guidance</v>
      </c>
      <c r="D6" s="33" cm="1">
        <f t="array" aca="1" ref="D6" ca="1">INDIRECT(Taulukko1[[#This Row],[EBIT1-6%]])</f>
        <v>-0.19407894736842105</v>
      </c>
      <c r="E6" s="33" cm="1">
        <f t="array" aca="1" ref="E6" ca="1">INDIRECT(Taulukko1[[#This Row],[EBIT7-12%]])</f>
        <v>0</v>
      </c>
      <c r="F6" s="33" cm="1">
        <f t="array" aca="1" ref="F6" ca="1">INDIRECT(Taulukko1[[#This Row],[EBITfullyear%]])</f>
        <v>-0.13111111111111112</v>
      </c>
      <c r="G6" s="33"/>
      <c r="H6" s="44">
        <v>1</v>
      </c>
      <c r="I6" t="str">
        <f>Taulukko1[[#This Row],[Company]]&amp;"!f1"</f>
        <v>Kempower!f1</v>
      </c>
      <c r="J6" t="str">
        <f>Taulukko1[[#This Row],[Company]]&amp;"!g4"</f>
        <v>Kempower!g4</v>
      </c>
      <c r="K6" t="str">
        <f>Taulukko1[[#This Row],[Company]]&amp;"!g5"</f>
        <v>Kempower!g5</v>
      </c>
      <c r="L6" t="str">
        <f>Taulukko1[[#This Row],[Company]]&amp;"!g6"</f>
        <v>Kempower!g6</v>
      </c>
      <c r="M6" t="str">
        <f>Taulukko1[[#This Row],[Company]]&amp;"!d6"</f>
        <v>Kempower!d6</v>
      </c>
      <c r="N6" t="str">
        <f>Taulukko1[[#This Row],[Company]]&amp;"!e6"</f>
        <v>Kempower!e6</v>
      </c>
      <c r="O6" t="str">
        <f>Taulukko1[[#This Row],[Company]]&amp;"!f6"</f>
        <v>Kempower!f6</v>
      </c>
      <c r="P6" s="33" cm="1">
        <f t="array" aca="1" ref="P6" ca="1">INDIRECT(Taulukko1[[#This Row],[RTD1]])</f>
        <v>-0.26105979581915417</v>
      </c>
      <c r="Q6" s="33" cm="1">
        <f t="array" aca="1" ref="Q6" ca="1">INDIRECT(Taulukko1[[#This Row],[RTD2]])</f>
        <v>-1.9593495934959348</v>
      </c>
      <c r="R6" s="33" cm="1">
        <f t="array" aca="1" ref="R6" ca="1">INDIRECT(Taulukko1[[#This Row],[RTD3]])</f>
        <v>0</v>
      </c>
      <c r="S6" s="44">
        <v>4</v>
      </c>
    </row>
    <row r="7" spans="1:19" x14ac:dyDescent="0.25">
      <c r="A7" s="19" t="s">
        <v>47</v>
      </c>
      <c r="B7" s="21" t="s">
        <v>20</v>
      </c>
      <c r="C7" s="22" t="str" cm="1">
        <f t="array" aca="1" ref="C7" ca="1">INDIRECT(Taulukko1[[#This Row],[Evaluation]])</f>
        <v>Not realistic guidance</v>
      </c>
      <c r="D7" s="33" cm="1">
        <f t="array" aca="1" ref="D7" ca="1">INDIRECT(Taulukko1[[#This Row],[EBIT1-6%]])</f>
        <v>0.11158960411000302</v>
      </c>
      <c r="E7" s="33" cm="1">
        <f t="array" aca="1" ref="E7" ca="1">INDIRECT(Taulukko1[[#This Row],[EBIT7-12%]])</f>
        <v>0.1596914492040046</v>
      </c>
      <c r="F7" s="33" cm="1">
        <f t="array" aca="1" ref="F7" ca="1">INDIRECT(Taulukko1[[#This Row],[EBITfullyear%]])</f>
        <v>0.12675254798489316</v>
      </c>
      <c r="G7" s="33"/>
      <c r="H7" s="44">
        <v>1</v>
      </c>
      <c r="I7" t="str">
        <f>Taulukko1[[#This Row],[Company]]&amp;"!f1"</f>
        <v>Nokia!f1</v>
      </c>
      <c r="J7" t="str">
        <f>Taulukko1[[#This Row],[Company]]&amp;"!g4"</f>
        <v>Nokia!g4</v>
      </c>
      <c r="K7" t="str">
        <f>Taulukko1[[#This Row],[Company]]&amp;"!g5"</f>
        <v>Nokia!g5</v>
      </c>
      <c r="L7" t="str">
        <f>Taulukko1[[#This Row],[Company]]&amp;"!g6"</f>
        <v>Nokia!g6</v>
      </c>
      <c r="M7" t="str">
        <f>Taulukko1[[#This Row],[Company]]&amp;"!d6"</f>
        <v>Nokia!d6</v>
      </c>
      <c r="N7" t="str">
        <f>Taulukko1[[#This Row],[Company]]&amp;"!e6"</f>
        <v>Nokia!e6</v>
      </c>
      <c r="O7" t="str">
        <f>Taulukko1[[#This Row],[Company]]&amp;"!f6"</f>
        <v>Nokia!f6</v>
      </c>
      <c r="P7" s="33" cm="1">
        <f t="array" aca="1" ref="P7" ca="1">INDIRECT(Taulukko1[[#This Row],[RTD1]])</f>
        <v>-0.15812237628800407</v>
      </c>
      <c r="Q7" s="33" cm="1">
        <f t="array" aca="1" ref="Q7" ca="1">INDIRECT(Taulukko1[[#This Row],[RTD2]])</f>
        <v>-1.9907100199071048E-2</v>
      </c>
      <c r="R7" s="33" cm="1">
        <f t="array" aca="1" ref="R7" ca="1">INDIRECT(Taulukko1[[#This Row],[RTD3]])</f>
        <v>0</v>
      </c>
      <c r="S7" s="44">
        <v>4</v>
      </c>
    </row>
    <row r="8" spans="1:19" x14ac:dyDescent="0.25">
      <c r="A8" s="19" t="s">
        <v>136</v>
      </c>
      <c r="B8" t="s">
        <v>20</v>
      </c>
      <c r="C8" s="22" t="str" cm="1">
        <f t="array" aca="1" ref="C8" ca="1">INDIRECT(Taulukko1[[#This Row],[Evaluation]])</f>
        <v>Not realistic guidance</v>
      </c>
      <c r="D8" s="33" cm="1">
        <f t="array" aca="1" ref="D8" ca="1">INDIRECT(Taulukko1[[#This Row],[EBIT1-6%]])</f>
        <v>-1.6E-2</v>
      </c>
      <c r="E8" s="33" cm="1">
        <f t="array" aca="1" ref="E8" ca="1">INDIRECT(Taulukko1[[#This Row],[EBIT7-12%]])</f>
        <v>0.10692485792464745</v>
      </c>
      <c r="F8" s="33" cm="1">
        <f t="array" aca="1" ref="F8" ca="1">INDIRECT(Taulukko1[[#This Row],[EBITfullyear%]])</f>
        <v>2.7257240204429302E-2</v>
      </c>
      <c r="G8" s="33"/>
      <c r="H8" s="44">
        <v>1</v>
      </c>
      <c r="I8" t="str">
        <f>Taulukko1[[#This Row],[Company]]&amp;"!f1"</f>
        <v>Nokian_Tyres!f1</v>
      </c>
      <c r="J8" t="str">
        <f>Taulukko1[[#This Row],[Company]]&amp;"!g4"</f>
        <v>Nokian_Tyres!g4</v>
      </c>
      <c r="K8" t="str">
        <f>Taulukko1[[#This Row],[Company]]&amp;"!g5"</f>
        <v>Nokian_Tyres!g5</v>
      </c>
      <c r="L8" t="str">
        <f>Taulukko1[[#This Row],[Company]]&amp;"!g6"</f>
        <v>Nokian_Tyres!g6</v>
      </c>
      <c r="M8" t="str">
        <f>Taulukko1[[#This Row],[Company]]&amp;"!d6"</f>
        <v>Nokian_Tyres!d6</v>
      </c>
      <c r="N8" t="str">
        <f>Taulukko1[[#This Row],[Company]]&amp;"!e6"</f>
        <v>Nokian_Tyres!e6</v>
      </c>
      <c r="O8" t="str">
        <f>Taulukko1[[#This Row],[Company]]&amp;"!f6"</f>
        <v>Nokian_Tyres!f6</v>
      </c>
      <c r="P8" s="33" cm="1">
        <f t="array" aca="1" ref="P8" ca="1">INDIRECT(Taulukko1[[#This Row],[RTD1]])</f>
        <v>8.5607940446650099E-2</v>
      </c>
      <c r="Q8" s="33" cm="1">
        <f t="array" aca="1" ref="Q8" ca="1">INDIRECT(Taulukko1[[#This Row],[RTD2]])</f>
        <v>13</v>
      </c>
      <c r="R8" s="33" cm="1">
        <f t="array" aca="1" ref="R8" ca="1">INDIRECT(Taulukko1[[#This Row],[RTD3]])</f>
        <v>0</v>
      </c>
      <c r="S8" s="44">
        <v>4</v>
      </c>
    </row>
    <row r="9" spans="1:19" x14ac:dyDescent="0.25">
      <c r="A9" s="19" t="s">
        <v>55</v>
      </c>
      <c r="B9" s="21" t="s">
        <v>20</v>
      </c>
      <c r="C9" s="22" t="str" cm="1">
        <f t="array" aca="1" ref="C9" ca="1">INDIRECT(Taulukko1[[#This Row],[Evaluation]])</f>
        <v>Not realistic guidance</v>
      </c>
      <c r="D9" s="33" cm="1">
        <f t="array" aca="1" ref="D9" ca="1">INDIRECT(Taulukko1[[#This Row],[EBIT1-6%]])</f>
        <v>0.24074074074074073</v>
      </c>
      <c r="E9" s="33" cm="1">
        <f t="array" aca="1" ref="E9" ca="1">INDIRECT(Taulukko1[[#This Row],[EBIT7-12%]])</f>
        <v>0.48044972787167017</v>
      </c>
      <c r="F9" s="33" cm="1">
        <f t="array" aca="1" ref="F9" ca="1">INDIRECT(Taulukko1[[#This Row],[EBITfullyear%]])</f>
        <v>0.32245386192754616</v>
      </c>
      <c r="G9" s="33"/>
      <c r="H9" s="44">
        <v>1</v>
      </c>
      <c r="I9" t="str">
        <f>Taulukko1[[#This Row],[Company]]&amp;"!f1"</f>
        <v>Tecnotree!f1</v>
      </c>
      <c r="J9" t="str">
        <f>Taulukko1[[#This Row],[Company]]&amp;"!g4"</f>
        <v>Tecnotree!g4</v>
      </c>
      <c r="K9" t="str">
        <f>Taulukko1[[#This Row],[Company]]&amp;"!g5"</f>
        <v>Tecnotree!g5</v>
      </c>
      <c r="L9" t="str">
        <f>Taulukko1[[#This Row],[Company]]&amp;"!g6"</f>
        <v>Tecnotree!g6</v>
      </c>
      <c r="M9" t="str">
        <f>Taulukko1[[#This Row],[Company]]&amp;"!d6"</f>
        <v>Tecnotree!d6</v>
      </c>
      <c r="N9" t="str">
        <f>Taulukko1[[#This Row],[Company]]&amp;"!e6"</f>
        <v>Tecnotree!e6</v>
      </c>
      <c r="O9" t="str">
        <f>Taulukko1[[#This Row],[Company]]&amp;"!f6"</f>
        <v>Tecnotree!f6</v>
      </c>
      <c r="P9" s="33" cm="1">
        <f t="array" aca="1" ref="P9" ca="1">INDIRECT(Taulukko1[[#This Row],[RTD1]])</f>
        <v>-3.9145907473309705E-2</v>
      </c>
      <c r="Q9" s="33" cm="1">
        <f t="array" aca="1" ref="Q9" ca="1">INDIRECT(Taulukko1[[#This Row],[RTD2]])</f>
        <v>-0.1875</v>
      </c>
      <c r="R9" s="33" cm="1">
        <f t="array" aca="1" ref="R9" ca="1">INDIRECT(Taulukko1[[#This Row],[RTD3]])</f>
        <v>0</v>
      </c>
      <c r="S9" s="44">
        <v>4</v>
      </c>
    </row>
    <row r="10" spans="1:19" x14ac:dyDescent="0.25">
      <c r="A10" s="19" t="s">
        <v>24</v>
      </c>
      <c r="B10" s="23" t="s">
        <v>22</v>
      </c>
      <c r="C10" t="str" cm="1">
        <f t="array" aca="1" ref="C10" ca="1">INDIRECT(Taulukko1[[#This Row],[Evaluation]])</f>
        <v>Realistic consensus?</v>
      </c>
      <c r="D10" s="33" cm="1">
        <f t="array" aca="1" ref="D10" ca="1">INDIRECT(Taulukko1[[#This Row],[EBIT1-6%]])</f>
        <v>0.30517571649598468</v>
      </c>
      <c r="E10" s="33" cm="1">
        <f t="array" aca="1" ref="E10" ca="1">INDIRECT(Taulukko1[[#This Row],[EBIT7-12%]])</f>
        <v>0.33524244612774817</v>
      </c>
      <c r="F10" s="33" cm="1">
        <f t="array" aca="1" ref="F10" ca="1">INDIRECT(Taulukko1[[#This Row],[EBITfullyear%]])</f>
        <v>0.31434329053766857</v>
      </c>
      <c r="G10" s="33"/>
      <c r="H10" s="44">
        <v>1</v>
      </c>
      <c r="I10" t="str">
        <f>Taulukko1[[#This Row],[Company]]&amp;"!f1"</f>
        <v>Apple!f1</v>
      </c>
      <c r="J10" t="str">
        <f>Taulukko1[[#This Row],[Company]]&amp;"!g4"</f>
        <v>Apple!g4</v>
      </c>
      <c r="K10" t="str">
        <f>Taulukko1[[#This Row],[Company]]&amp;"!g5"</f>
        <v>Apple!g5</v>
      </c>
      <c r="L10" t="str">
        <f>Taulukko1[[#This Row],[Company]]&amp;"!g6"</f>
        <v>Apple!g6</v>
      </c>
      <c r="M10" t="str">
        <f>Taulukko1[[#This Row],[Company]]&amp;"!d6"</f>
        <v>Apple!d6</v>
      </c>
      <c r="N10" t="str">
        <f>Taulukko1[[#This Row],[Company]]&amp;"!e6"</f>
        <v>Apple!e6</v>
      </c>
      <c r="O10" t="str">
        <f>Taulukko1[[#This Row],[Company]]&amp;"!f6"</f>
        <v>Apple!f6</v>
      </c>
      <c r="P10" s="33" cm="1">
        <f t="array" aca="1" ref="P10" ca="1">INDIRECT(Taulukko1[[#This Row],[RTD1]])</f>
        <v>2.0023973156077179E-2</v>
      </c>
      <c r="Q10" s="33" cm="1">
        <f t="array" aca="1" ref="Q10" ca="1">INDIRECT(Taulukko1[[#This Row],[RTD2]])</f>
        <v>5.8223158970428512E-2</v>
      </c>
      <c r="R10" s="33" cm="1">
        <f t="array" aca="1" ref="R10" ca="1">INDIRECT(Taulukko1[[#This Row],[RTD3]])</f>
        <v>0</v>
      </c>
      <c r="S10" s="44">
        <v>3</v>
      </c>
    </row>
    <row r="11" spans="1:19" x14ac:dyDescent="0.25">
      <c r="A11" s="19" t="s">
        <v>27</v>
      </c>
      <c r="B11" s="22" t="s">
        <v>26</v>
      </c>
      <c r="C11" t="str" cm="1">
        <f t="array" aca="1" ref="C11" ca="1">INDIRECT(Taulukko1[[#This Row],[Evaluation]])</f>
        <v>Realistic consensus?</v>
      </c>
      <c r="D11" s="33" cm="1">
        <f t="array" aca="1" ref="D11" ca="1">INDIRECT(Taulukko1[[#This Row],[EBIT1-6%]])</f>
        <v>0.21522674965400701</v>
      </c>
      <c r="E11" s="33" cm="1">
        <f t="array" aca="1" ref="E11" ca="1">INDIRECT(Taulukko1[[#This Row],[EBIT7-12%]])</f>
        <v>0.23490955252300857</v>
      </c>
      <c r="F11" s="33" cm="1">
        <f t="array" aca="1" ref="F11" ca="1">INDIRECT(Taulukko1[[#This Row],[EBITfullyear%]])</f>
        <v>0.22045178828181164</v>
      </c>
      <c r="G11" s="33"/>
      <c r="H11" s="44">
        <v>1</v>
      </c>
      <c r="I11" t="str">
        <f>Taulukko1[[#This Row],[Company]]&amp;"!f1"</f>
        <v>AtlasCopco!f1</v>
      </c>
      <c r="J11" t="str">
        <f>Taulukko1[[#This Row],[Company]]&amp;"!g4"</f>
        <v>AtlasCopco!g4</v>
      </c>
      <c r="K11" t="str">
        <f>Taulukko1[[#This Row],[Company]]&amp;"!g5"</f>
        <v>AtlasCopco!g5</v>
      </c>
      <c r="L11" t="str">
        <f>Taulukko1[[#This Row],[Company]]&amp;"!g6"</f>
        <v>AtlasCopco!g6</v>
      </c>
      <c r="M11" t="str">
        <f>Taulukko1[[#This Row],[Company]]&amp;"!d6"</f>
        <v>AtlasCopco!d6</v>
      </c>
      <c r="N11" t="str">
        <f>Taulukko1[[#This Row],[Company]]&amp;"!e6"</f>
        <v>AtlasCopco!e6</v>
      </c>
      <c r="O11" t="str">
        <f>Taulukko1[[#This Row],[Company]]&amp;"!f6"</f>
        <v>AtlasCopco!f6</v>
      </c>
      <c r="P11" s="33" cm="1">
        <f t="array" aca="1" ref="P11" ca="1">INDIRECT(Taulukko1[[#This Row],[RTD1]])</f>
        <v>2.4062328713491565E-2</v>
      </c>
      <c r="Q11" s="33" cm="1">
        <f t="array" aca="1" ref="Q11" ca="1">INDIRECT(Taulukko1[[#This Row],[RTD2]])</f>
        <v>5.1062310301732694E-3</v>
      </c>
      <c r="R11" s="33" cm="1">
        <f t="array" aca="1" ref="R11" ca="1">INDIRECT(Taulukko1[[#This Row],[RTD3]])</f>
        <v>0</v>
      </c>
      <c r="S11" s="44">
        <v>3</v>
      </c>
    </row>
    <row r="12" spans="1:19" x14ac:dyDescent="0.25">
      <c r="A12" s="19" t="s">
        <v>31</v>
      </c>
      <c r="B12" s="22" t="s">
        <v>26</v>
      </c>
      <c r="C12" t="str" cm="1">
        <f t="array" aca="1" ref="C12" ca="1">INDIRECT(Taulukko1[[#This Row],[Evaluation]])</f>
        <v>Realistic consensus?</v>
      </c>
      <c r="D12" s="33" cm="1">
        <f t="array" aca="1" ref="D12" ca="1">INDIRECT(Taulukko1[[#This Row],[EBIT1-6%]])</f>
        <v>0.19325609992880718</v>
      </c>
      <c r="E12" s="33" cm="1">
        <f t="array" aca="1" ref="E12" ca="1">INDIRECT(Taulukko1[[#This Row],[EBIT7-12%]])</f>
        <v>0.22310709616070368</v>
      </c>
      <c r="F12" s="33" cm="1">
        <f t="array" aca="1" ref="F12" ca="1">INDIRECT(Taulukko1[[#This Row],[EBITfullyear%]])</f>
        <v>0.20120609696259834</v>
      </c>
      <c r="G12" s="33"/>
      <c r="H12" s="44">
        <v>1</v>
      </c>
      <c r="I12" t="str">
        <f>Taulukko1[[#This Row],[Company]]&amp;"!f1"</f>
        <v>Epiroc!f1</v>
      </c>
      <c r="J12" t="str">
        <f>Taulukko1[[#This Row],[Company]]&amp;"!g4"</f>
        <v>Epiroc!g4</v>
      </c>
      <c r="K12" t="str">
        <f>Taulukko1[[#This Row],[Company]]&amp;"!g5"</f>
        <v>Epiroc!g5</v>
      </c>
      <c r="L12" t="str">
        <f>Taulukko1[[#This Row],[Company]]&amp;"!g6"</f>
        <v>Epiroc!g6</v>
      </c>
      <c r="M12" t="str">
        <f>Taulukko1[[#This Row],[Company]]&amp;"!d6"</f>
        <v>Epiroc!d6</v>
      </c>
      <c r="N12" t="str">
        <f>Taulukko1[[#This Row],[Company]]&amp;"!e6"</f>
        <v>Epiroc!e6</v>
      </c>
      <c r="O12" t="str">
        <f>Taulukko1[[#This Row],[Company]]&amp;"!f6"</f>
        <v>Epiroc!f6</v>
      </c>
      <c r="P12" s="33" cm="1">
        <f t="array" aca="1" ref="P12" ca="1">INDIRECT(Taulukko1[[#This Row],[RTD1]])</f>
        <v>3.5242881072026888E-2</v>
      </c>
      <c r="Q12" s="33" cm="1">
        <f t="array" aca="1" ref="Q12" ca="1">INDIRECT(Taulukko1[[#This Row],[RTD2]])</f>
        <v>-9.4053398058252413E-2</v>
      </c>
      <c r="R12" s="33" cm="1">
        <f t="array" aca="1" ref="R12" ca="1">INDIRECT(Taulukko1[[#This Row],[RTD3]])</f>
        <v>0</v>
      </c>
      <c r="S12" s="44">
        <v>3</v>
      </c>
    </row>
    <row r="13" spans="1:19" x14ac:dyDescent="0.25">
      <c r="A13" s="19" t="s">
        <v>140</v>
      </c>
      <c r="B13" t="s">
        <v>20</v>
      </c>
      <c r="C13" t="str" cm="1">
        <f t="array" aca="1" ref="C13" ca="1">INDIRECT(Taulukko1[[#This Row],[Evaluation]])</f>
        <v>Realistic guidance</v>
      </c>
      <c r="D13" s="33" cm="1">
        <f t="array" aca="1" ref="D13" ca="1">INDIRECT(Taulukko1[[#This Row],[EBIT1-6%]])</f>
        <v>0.24039829302987198</v>
      </c>
      <c r="E13" s="33" cm="1">
        <f t="array" aca="1" ref="E13" ca="1">INDIRECT(Taulukko1[[#This Row],[EBIT7-12%]])</f>
        <v>0.54473684210526319</v>
      </c>
      <c r="F13" s="33" cm="1">
        <f t="array" aca="1" ref="F13" ca="1">INDIRECT(Taulukko1[[#This Row],[EBITfullyear%]])</f>
        <v>0.34</v>
      </c>
      <c r="G13" s="33"/>
      <c r="H13" s="44">
        <v>1</v>
      </c>
      <c r="I13" t="str">
        <f>Taulukko1[[#This Row],[Company]]&amp;"!f1"</f>
        <v>Qt!f1</v>
      </c>
      <c r="J13" t="str">
        <f>Taulukko1[[#This Row],[Company]]&amp;"!g4"</f>
        <v>Qt!g4</v>
      </c>
      <c r="K13" t="str">
        <f>Taulukko1[[#This Row],[Company]]&amp;"!g5"</f>
        <v>Qt!g5</v>
      </c>
      <c r="L13" t="str">
        <f>Taulukko1[[#This Row],[Company]]&amp;"!g6"</f>
        <v>Qt!g6</v>
      </c>
      <c r="M13" t="str">
        <f>Taulukko1[[#This Row],[Company]]&amp;"!d6"</f>
        <v>Qt!d6</v>
      </c>
      <c r="N13" t="str">
        <f>Taulukko1[[#This Row],[Company]]&amp;"!e6"</f>
        <v>Qt!e6</v>
      </c>
      <c r="O13" t="str">
        <f>Taulukko1[[#This Row],[Company]]&amp;"!f6"</f>
        <v>Qt!f6</v>
      </c>
      <c r="P13" s="33" cm="1">
        <f t="array" aca="1" ref="P13" ca="1">INDIRECT(Taulukko1[[#This Row],[RTD1]])</f>
        <v>0.157201646090535</v>
      </c>
      <c r="Q13" s="33" cm="1">
        <f t="array" aca="1" ref="Q13" ca="1">INDIRECT(Taulukko1[[#This Row],[RTD2]])</f>
        <v>0.44444444444444442</v>
      </c>
      <c r="R13" s="33" cm="1">
        <f t="array" aca="1" ref="R13" ca="1">INDIRECT(Taulukko1[[#This Row],[RTD3]])</f>
        <v>0</v>
      </c>
      <c r="S13" s="44">
        <v>3</v>
      </c>
    </row>
    <row r="14" spans="1:19" x14ac:dyDescent="0.25">
      <c r="A14" s="19" t="s">
        <v>19</v>
      </c>
      <c r="B14" s="21" t="s">
        <v>20</v>
      </c>
      <c r="C14" t="str" cm="1">
        <f t="array" aca="1" ref="C14" ca="1">INDIRECT(Taulukko1[[#This Row],[Evaluation]])</f>
        <v>Realistic guidance</v>
      </c>
      <c r="D14" s="33" cm="1">
        <f t="array" aca="1" ref="D14" ca="1">INDIRECT(Taulukko1[[#This Row],[EBIT1-6%]])</f>
        <v>0.36567164179104478</v>
      </c>
      <c r="E14" s="33" cm="1">
        <f t="array" aca="1" ref="E14" ca="1">INDIRECT(Taulukko1[[#This Row],[EBIT7-12%]])</f>
        <v>0.28488062940857284</v>
      </c>
      <c r="F14" s="33" cm="1">
        <f t="array" aca="1" ref="F14" ca="1">INDIRECT(Taulukko1[[#This Row],[EBITfullyear%]])</f>
        <v>0.34499999999999997</v>
      </c>
      <c r="G14" s="33"/>
      <c r="H14" s="44">
        <v>1</v>
      </c>
      <c r="I14" t="str">
        <f>Taulukko1[[#This Row],[Company]]&amp;"!f1"</f>
        <v>Admicom!f1</v>
      </c>
      <c r="J14" t="str">
        <f>Taulukko1[[#This Row],[Company]]&amp;"!g4"</f>
        <v>Admicom!g4</v>
      </c>
      <c r="K14" t="str">
        <f>Taulukko1[[#This Row],[Company]]&amp;"!g5"</f>
        <v>Admicom!g5</v>
      </c>
      <c r="L14" t="str">
        <f>Taulukko1[[#This Row],[Company]]&amp;"!g6"</f>
        <v>Admicom!g6</v>
      </c>
      <c r="M14" t="str">
        <f>Taulukko1[[#This Row],[Company]]&amp;"!d6"</f>
        <v>Admicom!d6</v>
      </c>
      <c r="N14" t="str">
        <f>Taulukko1[[#This Row],[Company]]&amp;"!e6"</f>
        <v>Admicom!e6</v>
      </c>
      <c r="O14" t="str">
        <f>Taulukko1[[#This Row],[Company]]&amp;"!f6"</f>
        <v>Admicom!f6</v>
      </c>
      <c r="P14" s="33" cm="1">
        <f t="array" aca="1" ref="P14" ca="1">INDIRECT(Taulukko1[[#This Row],[RTD1]])</f>
        <v>2.6819923371647514E-2</v>
      </c>
      <c r="Q14" s="33" cm="1">
        <f t="array" aca="1" ref="Q14" ca="1">INDIRECT(Taulukko1[[#This Row],[RTD2]])</f>
        <v>-5.7692307692307487E-2</v>
      </c>
      <c r="R14" s="33" cm="1">
        <f t="array" aca="1" ref="R14" ca="1">INDIRECT(Taulukko1[[#This Row],[RTD3]])</f>
        <v>0</v>
      </c>
      <c r="S14" s="44">
        <v>2</v>
      </c>
    </row>
    <row r="15" spans="1:19" x14ac:dyDescent="0.25">
      <c r="A15" s="19" t="s">
        <v>21</v>
      </c>
      <c r="B15" s="23" t="s">
        <v>22</v>
      </c>
      <c r="C15" t="str" cm="1">
        <f t="array" aca="1" ref="C15" ca="1">INDIRECT(Taulukko1[[#This Row],[Evaluation]])</f>
        <v>Realistic consensus</v>
      </c>
      <c r="D15" s="33" cm="1">
        <f t="array" aca="1" ref="D15" ca="1">INDIRECT(Taulukko1[[#This Row],[EBIT1-6%]])</f>
        <v>0.32111347313537031</v>
      </c>
      <c r="E15" s="33" cm="1">
        <f t="array" aca="1" ref="E15" ca="1">INDIRECT(Taulukko1[[#This Row],[EBIT7-12%]])</f>
        <v>0.29100721346513492</v>
      </c>
      <c r="F15" s="33" cm="1">
        <f t="array" aca="1" ref="F15" ca="1">INDIRECT(Taulukko1[[#This Row],[EBITfullyear%]])</f>
        <v>0.31299766077828095</v>
      </c>
      <c r="G15" s="33"/>
      <c r="H15" s="44">
        <v>1</v>
      </c>
      <c r="I15" t="str">
        <f>Taulukko1[[#This Row],[Company]]&amp;"!f1"</f>
        <v>Alphabet!f1</v>
      </c>
      <c r="J15" t="str">
        <f>Taulukko1[[#This Row],[Company]]&amp;"!g4"</f>
        <v>Alphabet!g4</v>
      </c>
      <c r="K15" t="str">
        <f>Taulukko1[[#This Row],[Company]]&amp;"!g5"</f>
        <v>Alphabet!g5</v>
      </c>
      <c r="L15" t="str">
        <f>Taulukko1[[#This Row],[Company]]&amp;"!g6"</f>
        <v>Alphabet!g6</v>
      </c>
      <c r="M15" t="str">
        <f>Taulukko1[[#This Row],[Company]]&amp;"!d6"</f>
        <v>Alphabet!d6</v>
      </c>
      <c r="N15" t="str">
        <f>Taulukko1[[#This Row],[Company]]&amp;"!e6"</f>
        <v>Alphabet!e6</v>
      </c>
      <c r="O15" t="str">
        <f>Taulukko1[[#This Row],[Company]]&amp;"!f6"</f>
        <v>Alphabet!f6</v>
      </c>
      <c r="P15" s="33" cm="1">
        <f t="array" aca="1" ref="P15" ca="1">INDIRECT(Taulukko1[[#This Row],[RTD1]])</f>
        <v>0.14684463823705007</v>
      </c>
      <c r="Q15" s="33" cm="1">
        <f t="array" aca="1" ref="Q15" ca="1">INDIRECT(Taulukko1[[#This Row],[RTD2]])</f>
        <v>0.34136215361296918</v>
      </c>
      <c r="R15" s="33" cm="1">
        <f t="array" aca="1" ref="R15" ca="1">INDIRECT(Taulukko1[[#This Row],[RTD3]])</f>
        <v>0</v>
      </c>
      <c r="S15" s="44">
        <v>2</v>
      </c>
    </row>
    <row r="16" spans="1:19" x14ac:dyDescent="0.25">
      <c r="A16" s="19" t="s">
        <v>23</v>
      </c>
      <c r="B16" s="23" t="s">
        <v>22</v>
      </c>
      <c r="C16" t="str" cm="1">
        <f t="array" aca="1" ref="C16" ca="1">INDIRECT(Taulukko1[[#This Row],[Evaluation]])</f>
        <v>Realistic guidance</v>
      </c>
      <c r="D16" s="33" cm="1">
        <f t="array" aca="1" ref="D16" ca="1">INDIRECT(Taulukko1[[#This Row],[EBIT1-6%]])</f>
        <v>0.10528139836090704</v>
      </c>
      <c r="E16" s="33" cm="1">
        <f t="array" aca="1" ref="E16" ca="1">INDIRECT(Taulukko1[[#This Row],[EBIT7-12%]])</f>
        <v>9.7297297297297303E-2</v>
      </c>
      <c r="F16" s="33" cm="1">
        <f t="array" aca="1" ref="F16" ca="1">INDIRECT(Taulukko1[[#This Row],[EBITfullyear%]])</f>
        <v>0.10295578679539683</v>
      </c>
      <c r="G16" s="33"/>
      <c r="H16" s="44">
        <v>1</v>
      </c>
      <c r="I16" t="str">
        <f>Taulukko1[[#This Row],[Company]]&amp;"!f1"</f>
        <v>Amazon!f1</v>
      </c>
      <c r="J16" t="str">
        <f>Taulukko1[[#This Row],[Company]]&amp;"!g4"</f>
        <v>Amazon!g4</v>
      </c>
      <c r="K16" t="str">
        <f>Taulukko1[[#This Row],[Company]]&amp;"!g5"</f>
        <v>Amazon!g5</v>
      </c>
      <c r="L16" t="str">
        <f>Taulukko1[[#This Row],[Company]]&amp;"!g6"</f>
        <v>Amazon!g6</v>
      </c>
      <c r="M16" t="str">
        <f>Taulukko1[[#This Row],[Company]]&amp;"!d6"</f>
        <v>Amazon!d6</v>
      </c>
      <c r="N16" t="str">
        <f>Taulukko1[[#This Row],[Company]]&amp;"!e6"</f>
        <v>Amazon!e6</v>
      </c>
      <c r="O16" t="str">
        <f>Taulukko1[[#This Row],[Company]]&amp;"!f6"</f>
        <v>Amazon!f6</v>
      </c>
      <c r="P16" s="33" cm="1">
        <f t="array" aca="1" ref="P16" ca="1">INDIRECT(Taulukko1[[#This Row],[RTD1]])</f>
        <v>0.11190789083651165</v>
      </c>
      <c r="Q16" s="33" cm="1">
        <f t="array" aca="1" ref="Q16" ca="1">INDIRECT(Taulukko1[[#This Row],[RTD2]])</f>
        <v>1.0043987649621453</v>
      </c>
      <c r="R16" s="33" cm="1">
        <f t="array" aca="1" ref="R16" ca="1">INDIRECT(Taulukko1[[#This Row],[RTD3]])</f>
        <v>0</v>
      </c>
      <c r="S16" s="44">
        <v>2</v>
      </c>
    </row>
    <row r="17" spans="1:19" x14ac:dyDescent="0.25">
      <c r="A17" s="19" t="s">
        <v>25</v>
      </c>
      <c r="B17" s="22" t="s">
        <v>26</v>
      </c>
      <c r="C17" t="str" cm="1">
        <f t="array" aca="1" ref="C17" ca="1">INDIRECT(Taulukko1[[#This Row],[Evaluation]])</f>
        <v>Realistic consensus</v>
      </c>
      <c r="D17" s="33" cm="1">
        <f t="array" aca="1" ref="D17" ca="1">INDIRECT(Taulukko1[[#This Row],[EBIT1-6%]])</f>
        <v>0.1606622899824571</v>
      </c>
      <c r="E17" s="33" cm="1">
        <f t="array" aca="1" ref="E17" ca="1">INDIRECT(Taulukko1[[#This Row],[EBIT7-12%]])</f>
        <v>0.16005243407186553</v>
      </c>
      <c r="F17" s="33" cm="1">
        <f t="array" aca="1" ref="F17" ca="1">INDIRECT(Taulukko1[[#This Row],[EBITfullyear%]])</f>
        <v>0.16050357209750354</v>
      </c>
      <c r="G17" s="33"/>
      <c r="H17" s="44">
        <v>1</v>
      </c>
      <c r="I17" t="str">
        <f>Taulukko1[[#This Row],[Company]]&amp;"!f1"</f>
        <v>AssaAbloy!f1</v>
      </c>
      <c r="J17" t="str">
        <f>Taulukko1[[#This Row],[Company]]&amp;"!g4"</f>
        <v>AssaAbloy!g4</v>
      </c>
      <c r="K17" t="str">
        <f>Taulukko1[[#This Row],[Company]]&amp;"!g5"</f>
        <v>AssaAbloy!g5</v>
      </c>
      <c r="L17" t="str">
        <f>Taulukko1[[#This Row],[Company]]&amp;"!g6"</f>
        <v>AssaAbloy!g6</v>
      </c>
      <c r="M17" t="str">
        <f>Taulukko1[[#This Row],[Company]]&amp;"!d6"</f>
        <v>AssaAbloy!d6</v>
      </c>
      <c r="N17" t="str">
        <f>Taulukko1[[#This Row],[Company]]&amp;"!e6"</f>
        <v>AssaAbloy!e6</v>
      </c>
      <c r="O17" t="str">
        <f>Taulukko1[[#This Row],[Company]]&amp;"!f6"</f>
        <v>AssaAbloy!f6</v>
      </c>
      <c r="P17" s="33" cm="1">
        <f t="array" aca="1" ref="P17" ca="1">INDIRECT(Taulukko1[[#This Row],[RTD1]])</f>
        <v>6.5827518408573926E-2</v>
      </c>
      <c r="Q17" s="33" cm="1">
        <f t="array" aca="1" ref="Q17" ca="1">INDIRECT(Taulukko1[[#This Row],[RTD2]])</f>
        <v>0.19659213362068972</v>
      </c>
      <c r="R17" s="33" cm="1">
        <f t="array" aca="1" ref="R17" ca="1">INDIRECT(Taulukko1[[#This Row],[RTD3]])</f>
        <v>0</v>
      </c>
      <c r="S17" s="44">
        <v>2</v>
      </c>
    </row>
    <row r="18" spans="1:19" x14ac:dyDescent="0.25">
      <c r="A18" s="19" t="s">
        <v>28</v>
      </c>
      <c r="B18" s="23" t="s">
        <v>22</v>
      </c>
      <c r="C18" t="str" cm="1">
        <f t="array" aca="1" ref="C18" ca="1">INDIRECT(Taulukko1[[#This Row],[Evaluation]])</f>
        <v>Realistic consensus</v>
      </c>
      <c r="D18" s="33" cm="1">
        <f t="array" aca="1" ref="D18" ca="1">INDIRECT(Taulukko1[[#This Row],[EBIT1-6%]])</f>
        <v>0.3189183271294066</v>
      </c>
      <c r="E18" s="33" cm="1">
        <f t="array" aca="1" ref="E18" ca="1">INDIRECT(Taulukko1[[#This Row],[EBIT7-12%]])</f>
        <v>0.31261849589214241</v>
      </c>
      <c r="F18" s="33" cm="1">
        <f t="array" aca="1" ref="F18" ca="1">INDIRECT(Taulukko1[[#This Row],[EBITfullyear%]])</f>
        <v>0.31761894416684772</v>
      </c>
      <c r="G18" s="33"/>
      <c r="H18" s="44">
        <v>1</v>
      </c>
      <c r="I18" t="str">
        <f>Taulukko1[[#This Row],[Company]]&amp;"!f1"</f>
        <v>Booking!f1</v>
      </c>
      <c r="J18" t="str">
        <f>Taulukko1[[#This Row],[Company]]&amp;"!g4"</f>
        <v>Booking!g4</v>
      </c>
      <c r="K18" t="str">
        <f>Taulukko1[[#This Row],[Company]]&amp;"!g5"</f>
        <v>Booking!g5</v>
      </c>
      <c r="L18" t="str">
        <f>Taulukko1[[#This Row],[Company]]&amp;"!g6"</f>
        <v>Booking!g6</v>
      </c>
      <c r="M18" t="str">
        <f>Taulukko1[[#This Row],[Company]]&amp;"!d6"</f>
        <v>Booking!d6</v>
      </c>
      <c r="N18" t="str">
        <f>Taulukko1[[#This Row],[Company]]&amp;"!e6"</f>
        <v>Booking!e6</v>
      </c>
      <c r="O18" t="str">
        <f>Taulukko1[[#This Row],[Company]]&amp;"!f6"</f>
        <v>Booking!f6</v>
      </c>
      <c r="P18" s="33" cm="1">
        <f t="array" aca="1" ref="P18" ca="1">INDIRECT(Taulukko1[[#This Row],[RTD1]])</f>
        <v>0.97705627705627696</v>
      </c>
      <c r="Q18" s="33" cm="1">
        <f t="array" aca="1" ref="Q18" ca="1">INDIRECT(Taulukko1[[#This Row],[RTD2]])</f>
        <v>1.744229863400848</v>
      </c>
      <c r="R18" s="33" cm="1">
        <f t="array" aca="1" ref="R18" ca="1">INDIRECT(Taulukko1[[#This Row],[RTD3]])</f>
        <v>0</v>
      </c>
      <c r="S18" s="44">
        <v>2</v>
      </c>
    </row>
    <row r="19" spans="1:19" x14ac:dyDescent="0.25">
      <c r="A19" s="19" t="s">
        <v>32</v>
      </c>
      <c r="B19" s="21" t="s">
        <v>20</v>
      </c>
      <c r="C19" t="str" cm="1">
        <f t="array" aca="1" ref="C19" ca="1">INDIRECT(Taulukko1[[#This Row],[Evaluation]])</f>
        <v>Realistic guidance</v>
      </c>
      <c r="D19" s="33" cm="1">
        <f t="array" aca="1" ref="D19" ca="1">INDIRECT(Taulukko1[[#This Row],[EBIT1-6%]])</f>
        <v>5.0055617352614018E-2</v>
      </c>
      <c r="E19" s="33" cm="1">
        <f t="array" aca="1" ref="E19" ca="1">INDIRECT(Taulukko1[[#This Row],[EBIT7-12%]])</f>
        <v>7.0043103448275856E-2</v>
      </c>
      <c r="F19" s="33" cm="1">
        <f t="array" aca="1" ref="F19" ca="1">INDIRECT(Taulukko1[[#This Row],[EBITfullyear%]])</f>
        <v>5.5172413793103448E-2</v>
      </c>
      <c r="G19" s="33"/>
      <c r="H19" s="44">
        <v>1</v>
      </c>
      <c r="I19" t="str">
        <f>Taulukko1[[#This Row],[Company]]&amp;"!f1"</f>
        <v>Etteplan!f1</v>
      </c>
      <c r="J19" t="str">
        <f>Taulukko1[[#This Row],[Company]]&amp;"!g4"</f>
        <v>Etteplan!g4</v>
      </c>
      <c r="K19" t="str">
        <f>Taulukko1[[#This Row],[Company]]&amp;"!g5"</f>
        <v>Etteplan!g5</v>
      </c>
      <c r="L19" t="str">
        <f>Taulukko1[[#This Row],[Company]]&amp;"!g6"</f>
        <v>Etteplan!g6</v>
      </c>
      <c r="M19" t="str">
        <f>Taulukko1[[#This Row],[Company]]&amp;"!d6"</f>
        <v>Etteplan!d6</v>
      </c>
      <c r="N19" t="str">
        <f>Taulukko1[[#This Row],[Company]]&amp;"!e6"</f>
        <v>Etteplan!e6</v>
      </c>
      <c r="O19" t="str">
        <f>Taulukko1[[#This Row],[Company]]&amp;"!f6"</f>
        <v>Etteplan!f6</v>
      </c>
      <c r="P19" s="33" cm="1">
        <f t="array" aca="1" ref="P19" ca="1">INDIRECT(Taulukko1[[#This Row],[RTD1]])</f>
        <v>1.8120045300113352E-2</v>
      </c>
      <c r="Q19" s="33" cm="1">
        <f t="array" aca="1" ref="Q19" ca="1">INDIRECT(Taulukko1[[#This Row],[RTD2]])</f>
        <v>-0.22413793103448265</v>
      </c>
      <c r="R19" s="33" cm="1">
        <f t="array" aca="1" ref="R19" ca="1">INDIRECT(Taulukko1[[#This Row],[RTD3]])</f>
        <v>0</v>
      </c>
      <c r="S19" s="44">
        <v>2</v>
      </c>
    </row>
    <row r="20" spans="1:19" x14ac:dyDescent="0.25">
      <c r="A20" s="19" t="s">
        <v>34</v>
      </c>
      <c r="B20" s="21" t="s">
        <v>20</v>
      </c>
      <c r="C20" t="str" cm="1">
        <f t="array" aca="1" ref="C20" ca="1">INDIRECT(Taulukko1[[#This Row],[Evaluation]])</f>
        <v>Realistic guidance</v>
      </c>
      <c r="D20" s="33" cm="1">
        <f t="array" aca="1" ref="D20" ca="1">INDIRECT(Taulukko1[[#This Row],[EBIT1-6%]])</f>
        <v>1.4091790562378798E-2</v>
      </c>
      <c r="E20" s="33" cm="1">
        <f t="array" aca="1" ref="E20" ca="1">INDIRECT(Taulukko1[[#This Row],[EBIT7-12%]])</f>
        <v>4.4258469461656066E-3</v>
      </c>
      <c r="F20" s="33" cm="1">
        <f t="array" aca="1" ref="F20" ca="1">INDIRECT(Taulukko1[[#This Row],[EBITfullyear%]])</f>
        <v>1.1741223435481977E-2</v>
      </c>
      <c r="G20" s="33" t="s">
        <v>146</v>
      </c>
      <c r="H20" s="44">
        <v>1</v>
      </c>
      <c r="I20" t="str">
        <f>Taulukko1[[#This Row],[Company]]&amp;"!f1"</f>
        <v>Kamux!f1</v>
      </c>
      <c r="J20" t="str">
        <f>Taulukko1[[#This Row],[Company]]&amp;"!g4"</f>
        <v>Kamux!g4</v>
      </c>
      <c r="K20" t="str">
        <f>Taulukko1[[#This Row],[Company]]&amp;"!g5"</f>
        <v>Kamux!g5</v>
      </c>
      <c r="L20" t="str">
        <f>Taulukko1[[#This Row],[Company]]&amp;"!g6"</f>
        <v>Kamux!g6</v>
      </c>
      <c r="M20" t="str">
        <f>Taulukko1[[#This Row],[Company]]&amp;"!d6"</f>
        <v>Kamux!d6</v>
      </c>
      <c r="N20" t="str">
        <f>Taulukko1[[#This Row],[Company]]&amp;"!e6"</f>
        <v>Kamux!e6</v>
      </c>
      <c r="O20" t="str">
        <f>Taulukko1[[#This Row],[Company]]&amp;"!f6"</f>
        <v>Kamux!f6</v>
      </c>
      <c r="P20" s="33" cm="1">
        <f t="array" aca="1" ref="P20" ca="1">INDIRECT(Taulukko1[[#This Row],[RTD1]])</f>
        <v>1.7094017094017033E-2</v>
      </c>
      <c r="Q20" s="33" cm="1">
        <f t="array" aca="1" ref="Q20" ca="1">INDIRECT(Taulukko1[[#This Row],[RTD2]])</f>
        <v>-0.128</v>
      </c>
      <c r="R20" s="33" cm="1">
        <f t="array" aca="1" ref="R20" ca="1">INDIRECT(Taulukko1[[#This Row],[RTD3]])</f>
        <v>0</v>
      </c>
      <c r="S20" s="44">
        <v>2</v>
      </c>
    </row>
    <row r="21" spans="1:19" x14ac:dyDescent="0.25">
      <c r="A21" s="19" t="s">
        <v>37</v>
      </c>
      <c r="B21" s="21" t="s">
        <v>20</v>
      </c>
      <c r="C21" t="str" cm="1">
        <f t="array" aca="1" ref="C21" ca="1">INDIRECT(Taulukko1[[#This Row],[Evaluation]])</f>
        <v>Realistic guidance</v>
      </c>
      <c r="D21" s="33" cm="1">
        <f t="array" aca="1" ref="D21" ca="1">INDIRECT(Taulukko1[[#This Row],[EBIT1-6%]])</f>
        <v>5.3941441441441439E-2</v>
      </c>
      <c r="E21" s="33" cm="1">
        <f t="array" aca="1" ref="E21" ca="1">INDIRECT(Taulukko1[[#This Row],[EBIT7-12%]])</f>
        <v>5.3511705685618728E-2</v>
      </c>
      <c r="F21" s="33" cm="1">
        <f t="array" aca="1" ref="F21" ca="1">INDIRECT(Taulukko1[[#This Row],[EBITfullyear%]])</f>
        <v>5.382529377927521E-2</v>
      </c>
      <c r="G21" s="33"/>
      <c r="H21" s="44">
        <v>1</v>
      </c>
      <c r="I21" t="str">
        <f>Taulukko1[[#This Row],[Company]]&amp;"!f1"</f>
        <v>Kesko!f1</v>
      </c>
      <c r="J21" t="str">
        <f>Taulukko1[[#This Row],[Company]]&amp;"!g4"</f>
        <v>Kesko!g4</v>
      </c>
      <c r="K21" t="str">
        <f>Taulukko1[[#This Row],[Company]]&amp;"!g5"</f>
        <v>Kesko!g5</v>
      </c>
      <c r="L21" t="str">
        <f>Taulukko1[[#This Row],[Company]]&amp;"!g6"</f>
        <v>Kesko!g6</v>
      </c>
      <c r="M21" t="str">
        <f>Taulukko1[[#This Row],[Company]]&amp;"!d6"</f>
        <v>Kesko!d6</v>
      </c>
      <c r="N21" t="str">
        <f>Taulukko1[[#This Row],[Company]]&amp;"!e6"</f>
        <v>Kesko!e6</v>
      </c>
      <c r="O21" t="str">
        <f>Taulukko1[[#This Row],[Company]]&amp;"!f6"</f>
        <v>Kesko!f6</v>
      </c>
      <c r="P21" s="33" cm="1">
        <f t="array" aca="1" ref="P21" ca="1">INDIRECT(Taulukko1[[#This Row],[RTD1]])</f>
        <v>-2.2517451024539614E-4</v>
      </c>
      <c r="Q21" s="33" cm="1">
        <f t="array" aca="1" ref="Q21" ca="1">INDIRECT(Taulukko1[[#This Row],[RTD2]])</f>
        <v>-0.1162361623616236</v>
      </c>
      <c r="R21" s="33" cm="1">
        <f t="array" aca="1" ref="R21" ca="1">INDIRECT(Taulukko1[[#This Row],[RTD3]])</f>
        <v>0</v>
      </c>
      <c r="S21" s="44">
        <v>2</v>
      </c>
    </row>
    <row r="22" spans="1:19" x14ac:dyDescent="0.25">
      <c r="A22" s="19" t="s">
        <v>38</v>
      </c>
      <c r="B22" s="21" t="s">
        <v>20</v>
      </c>
      <c r="C22" t="str" cm="1">
        <f t="array" aca="1" ref="C22" ca="1">INDIRECT(Taulukko1[[#This Row],[Evaluation]])</f>
        <v>Realistic guidance</v>
      </c>
      <c r="D22" s="33" cm="1">
        <f t="array" aca="1" ref="D22" ca="1">INDIRECT(Taulukko1[[#This Row],[EBIT1-6%]])</f>
        <v>0.11288932660347162</v>
      </c>
      <c r="E22" s="33" cm="1">
        <f t="array" aca="1" ref="E22" ca="1">INDIRECT(Taulukko1[[#This Row],[EBIT7-12%]])</f>
        <v>0.1279549087282319</v>
      </c>
      <c r="F22" s="33" cm="1">
        <f t="array" aca="1" ref="F22" ca="1">INDIRECT(Taulukko1[[#This Row],[EBITfullyear%]])</f>
        <v>0.11700000000000001</v>
      </c>
      <c r="G22" s="33"/>
      <c r="H22" s="44">
        <v>1</v>
      </c>
      <c r="I22" t="str">
        <f>Taulukko1[[#This Row],[Company]]&amp;"!f1"</f>
        <v>Kone!f1</v>
      </c>
      <c r="J22" t="str">
        <f>Taulukko1[[#This Row],[Company]]&amp;"!g4"</f>
        <v>Kone!g4</v>
      </c>
      <c r="K22" t="str">
        <f>Taulukko1[[#This Row],[Company]]&amp;"!g5"</f>
        <v>Kone!g5</v>
      </c>
      <c r="L22" t="str">
        <f>Taulukko1[[#This Row],[Company]]&amp;"!g6"</f>
        <v>Kone!g6</v>
      </c>
      <c r="M22" t="str">
        <f>Taulukko1[[#This Row],[Company]]&amp;"!d6"</f>
        <v>Kone!d6</v>
      </c>
      <c r="N22" t="str">
        <f>Taulukko1[[#This Row],[Company]]&amp;"!e6"</f>
        <v>Kone!e6</v>
      </c>
      <c r="O22" t="str">
        <f>Taulukko1[[#This Row],[Company]]&amp;"!f6"</f>
        <v>Kone!f6</v>
      </c>
      <c r="P22" s="33" cm="1">
        <f t="array" aca="1" ref="P22" ca="1">INDIRECT(Taulukko1[[#This Row],[RTD1]])</f>
        <v>-2.333578973225281E-3</v>
      </c>
      <c r="Q22" s="33" cm="1">
        <f t="array" aca="1" ref="Q22" ca="1">INDIRECT(Taulukko1[[#This Row],[RTD2]])</f>
        <v>3.0337078651685445E-2</v>
      </c>
      <c r="R22" s="33" cm="1">
        <f t="array" aca="1" ref="R22" ca="1">INDIRECT(Taulukko1[[#This Row],[RTD3]])</f>
        <v>0</v>
      </c>
      <c r="S22" s="44">
        <v>2</v>
      </c>
    </row>
    <row r="23" spans="1:19" x14ac:dyDescent="0.25">
      <c r="A23" s="19" t="s">
        <v>39</v>
      </c>
      <c r="B23" s="21" t="s">
        <v>20</v>
      </c>
      <c r="C23" t="str" cm="1">
        <f t="array" aca="1" ref="C23" ca="1">INDIRECT(Taulukko1[[#This Row],[Evaluation]])</f>
        <v>Realistic guidance</v>
      </c>
      <c r="D23" s="33" cm="1">
        <f t="array" aca="1" ref="D23" ca="1">INDIRECT(Taulukko1[[#This Row],[EBIT1-6%]])</f>
        <v>0.12238805970149254</v>
      </c>
      <c r="E23" s="33" cm="1">
        <f t="array" aca="1" ref="E23" ca="1">INDIRECT(Taulukko1[[#This Row],[EBIT7-12%]])</f>
        <v>0.12436910062333038</v>
      </c>
      <c r="F23" s="33" cm="1">
        <f t="array" aca="1" ref="F23" ca="1">INDIRECT(Taulukko1[[#This Row],[EBITfullyear%]])</f>
        <v>0.123</v>
      </c>
      <c r="G23" s="33"/>
      <c r="H23" s="44">
        <v>1</v>
      </c>
      <c r="I23" t="str">
        <f>Taulukko1[[#This Row],[Company]]&amp;"!f1"</f>
        <v>Konecranes!f1</v>
      </c>
      <c r="J23" t="str">
        <f>Taulukko1[[#This Row],[Company]]&amp;"!g4"</f>
        <v>Konecranes!g4</v>
      </c>
      <c r="K23" t="str">
        <f>Taulukko1[[#This Row],[Company]]&amp;"!g5"</f>
        <v>Konecranes!g5</v>
      </c>
      <c r="L23" t="str">
        <f>Taulukko1[[#This Row],[Company]]&amp;"!g6"</f>
        <v>Konecranes!g6</v>
      </c>
      <c r="M23" t="str">
        <f>Taulukko1[[#This Row],[Company]]&amp;"!d6"</f>
        <v>Konecranes!d6</v>
      </c>
      <c r="N23" t="str">
        <f>Taulukko1[[#This Row],[Company]]&amp;"!e6"</f>
        <v>Konecranes!e6</v>
      </c>
      <c r="O23" t="str">
        <f>Taulukko1[[#This Row],[Company]]&amp;"!f6"</f>
        <v>Konecranes!f6</v>
      </c>
      <c r="P23" s="33" cm="1">
        <f t="array" aca="1" ref="P23" ca="1">INDIRECT(Taulukko1[[#This Row],[RTD1]])</f>
        <v>7.0287539936102261E-2</v>
      </c>
      <c r="Q23" s="33" cm="1">
        <f t="array" aca="1" ref="Q23" ca="1">INDIRECT(Taulukko1[[#This Row],[RTD2]])</f>
        <v>0.25510204081632648</v>
      </c>
      <c r="R23" s="33" cm="1">
        <f t="array" aca="1" ref="R23" ca="1">INDIRECT(Taulukko1[[#This Row],[RTD3]])</f>
        <v>0</v>
      </c>
      <c r="S23" s="44">
        <v>2</v>
      </c>
    </row>
    <row r="24" spans="1:19" x14ac:dyDescent="0.25">
      <c r="A24" s="19" t="s">
        <v>40</v>
      </c>
      <c r="B24" s="21" t="s">
        <v>20</v>
      </c>
      <c r="C24" s="22" t="str" cm="1">
        <f t="array" aca="1" ref="C24" ca="1">INDIRECT(Taulukko1[[#This Row],[Evaluation]])</f>
        <v>Realistic guidance</v>
      </c>
      <c r="D24" s="33" cm="1">
        <f t="array" aca="1" ref="D24" ca="1">INDIRECT(Taulukko1[[#This Row],[EBIT1-6%]])</f>
        <v>8.8867654085045392E-2</v>
      </c>
      <c r="E24" s="33" cm="1">
        <f t="array" aca="1" ref="E24" ca="1">INDIRECT(Taulukko1[[#This Row],[EBIT7-12%]])</f>
        <v>0.13083438099649311</v>
      </c>
      <c r="F24" s="33" cm="1">
        <f t="array" aca="1" ref="F24" ca="1">INDIRECT(Taulukko1[[#This Row],[EBITfullyear%]])</f>
        <v>0.1</v>
      </c>
      <c r="G24" s="33"/>
      <c r="H24" s="44">
        <v>1</v>
      </c>
      <c r="I24" t="str">
        <f>Taulukko1[[#This Row],[Company]]&amp;"!f1"</f>
        <v>Koskisen!f1</v>
      </c>
      <c r="J24" t="str">
        <f>Taulukko1[[#This Row],[Company]]&amp;"!g4"</f>
        <v>Koskisen!g4</v>
      </c>
      <c r="K24" t="str">
        <f>Taulukko1[[#This Row],[Company]]&amp;"!g5"</f>
        <v>Koskisen!g5</v>
      </c>
      <c r="L24" t="str">
        <f>Taulukko1[[#This Row],[Company]]&amp;"!g6"</f>
        <v>Koskisen!g6</v>
      </c>
      <c r="M24" t="str">
        <f>Taulukko1[[#This Row],[Company]]&amp;"!d6"</f>
        <v>Koskisen!d6</v>
      </c>
      <c r="N24" t="str">
        <f>Taulukko1[[#This Row],[Company]]&amp;"!e6"</f>
        <v>Koskisen!e6</v>
      </c>
      <c r="O24" t="str">
        <f>Taulukko1[[#This Row],[Company]]&amp;"!f6"</f>
        <v>Koskisen!f6</v>
      </c>
      <c r="P24" s="33" cm="1">
        <f t="array" aca="1" ref="P24" ca="1">INDIRECT(Taulukko1[[#This Row],[RTD1]])</f>
        <v>3.3070088845014833E-2</v>
      </c>
      <c r="Q24" s="33" cm="1">
        <f t="array" aca="1" ref="Q24" ca="1">INDIRECT(Taulukko1[[#This Row],[RTD2]])</f>
        <v>-0.32851985559566776</v>
      </c>
      <c r="R24" s="33" cm="1">
        <f t="array" aca="1" ref="R24" ca="1">INDIRECT(Taulukko1[[#This Row],[RTD3]])</f>
        <v>0</v>
      </c>
      <c r="S24" s="44">
        <v>2</v>
      </c>
    </row>
    <row r="25" spans="1:19" x14ac:dyDescent="0.25">
      <c r="A25" s="19" t="s">
        <v>41</v>
      </c>
      <c r="B25" s="21" t="s">
        <v>20</v>
      </c>
      <c r="C25" t="str" cm="1">
        <f t="array" aca="1" ref="C25" ca="1">INDIRECT(Taulukko1[[#This Row],[Evaluation]])</f>
        <v>Realistic guidance</v>
      </c>
      <c r="D25" s="33" cm="1">
        <f t="array" aca="1" ref="D25" ca="1">INDIRECT(Taulukko1[[#This Row],[EBIT1-6%]])</f>
        <v>0.11585365853658537</v>
      </c>
      <c r="E25" s="33" cm="1">
        <f t="array" aca="1" ref="E25" ca="1">INDIRECT(Taulukko1[[#This Row],[EBIT7-12%]])</f>
        <v>0.11415525114155248</v>
      </c>
      <c r="F25" s="33" cm="1">
        <f t="array" aca="1" ref="F25" ca="1">INDIRECT(Taulukko1[[#This Row],[EBITfullyear%]])</f>
        <v>0.11542857142857142</v>
      </c>
      <c r="G25" s="33" t="s">
        <v>42</v>
      </c>
      <c r="H25" s="44">
        <v>1</v>
      </c>
      <c r="I25" t="str">
        <f>Taulukko1[[#This Row],[Company]]&amp;"!f1"</f>
        <v>Lapwall!f1</v>
      </c>
      <c r="J25" t="str">
        <f>Taulukko1[[#This Row],[Company]]&amp;"!g4"</f>
        <v>Lapwall!g4</v>
      </c>
      <c r="K25" t="str">
        <f>Taulukko1[[#This Row],[Company]]&amp;"!g5"</f>
        <v>Lapwall!g5</v>
      </c>
      <c r="L25" t="str">
        <f>Taulukko1[[#This Row],[Company]]&amp;"!g6"</f>
        <v>Lapwall!g6</v>
      </c>
      <c r="M25" t="str">
        <f>Taulukko1[[#This Row],[Company]]&amp;"!d6"</f>
        <v>Lapwall!d6</v>
      </c>
      <c r="N25" t="str">
        <f>Taulukko1[[#This Row],[Company]]&amp;"!e6"</f>
        <v>Lapwall!e6</v>
      </c>
      <c r="O25" t="str">
        <f>Taulukko1[[#This Row],[Company]]&amp;"!f6"</f>
        <v>Lapwall!f6</v>
      </c>
      <c r="P25" s="33" cm="1">
        <f t="array" aca="1" ref="P25" ca="1">INDIRECT(Taulukko1[[#This Row],[RTD1]])</f>
        <v>0.10067114093959728</v>
      </c>
      <c r="Q25" s="33" cm="1">
        <f t="array" aca="1" ref="Q25" ca="1">INDIRECT(Taulukko1[[#This Row],[RTD2]])</f>
        <v>0.31034482758620685</v>
      </c>
      <c r="R25" s="33" cm="1">
        <f t="array" aca="1" ref="R25" ca="1">INDIRECT(Taulukko1[[#This Row],[RTD3]])</f>
        <v>0</v>
      </c>
      <c r="S25" s="44">
        <v>2</v>
      </c>
    </row>
    <row r="26" spans="1:19" x14ac:dyDescent="0.25">
      <c r="A26" s="19" t="s">
        <v>43</v>
      </c>
      <c r="B26" t="s">
        <v>20</v>
      </c>
      <c r="C26" t="str" cm="1">
        <f t="array" aca="1" ref="C26" ca="1">INDIRECT(Taulukko1[[#This Row],[Evaluation]])</f>
        <v>Realistic guidance</v>
      </c>
      <c r="D26" s="33" cm="1">
        <f t="array" aca="1" ref="D26" ca="1">INDIRECT(Taulukko1[[#This Row],[EBIT1-6%]])</f>
        <v>5.6721595836947102E-2</v>
      </c>
      <c r="E26" s="33" cm="1">
        <f t="array" aca="1" ref="E26" ca="1">INDIRECT(Taulukko1[[#This Row],[EBIT7-12%]])</f>
        <v>3.6585365853658534E-2</v>
      </c>
      <c r="F26" s="33" cm="1">
        <f t="array" aca="1" ref="F26" ca="1">INDIRECT(Taulukko1[[#This Row],[EBITfullyear%]])</f>
        <v>5.1059850374064839E-2</v>
      </c>
      <c r="G26" s="33"/>
      <c r="H26" s="44">
        <v>1</v>
      </c>
      <c r="I26" t="str">
        <f>Taulukko1[[#This Row],[Company]]&amp;"!f1"</f>
        <v>Lassila!f1</v>
      </c>
      <c r="J26" t="str">
        <f>Taulukko1[[#This Row],[Company]]&amp;"!g4"</f>
        <v>Lassila!g4</v>
      </c>
      <c r="K26" t="str">
        <f>Taulukko1[[#This Row],[Company]]&amp;"!g5"</f>
        <v>Lassila!g5</v>
      </c>
      <c r="L26" t="str">
        <f>Taulukko1[[#This Row],[Company]]&amp;"!g6"</f>
        <v>Lassila!g6</v>
      </c>
      <c r="M26" t="str">
        <f>Taulukko1[[#This Row],[Company]]&amp;"!d6"</f>
        <v>Lassila!d6</v>
      </c>
      <c r="N26" t="str">
        <f>Taulukko1[[#This Row],[Company]]&amp;"!e6"</f>
        <v>Lassila!e6</v>
      </c>
      <c r="O26" t="str">
        <f>Taulukko1[[#This Row],[Company]]&amp;"!f6"</f>
        <v>Lassila!f6</v>
      </c>
      <c r="P26" s="33" cm="1">
        <f t="array" aca="1" ref="P26" ca="1">INDIRECT(Taulukko1[[#This Row],[RTD1]])</f>
        <v>-4.108449767132405E-2</v>
      </c>
      <c r="Q26" s="33" cm="1">
        <f t="array" aca="1" ref="Q26" ca="1">INDIRECT(Taulukko1[[#This Row],[RTD2]])</f>
        <v>2.8301886792452935E-2</v>
      </c>
      <c r="R26" s="33" cm="1">
        <f t="array" aca="1" ref="R26" ca="1">INDIRECT(Taulukko1[[#This Row],[RTD3]])</f>
        <v>0</v>
      </c>
      <c r="S26" s="44">
        <v>2</v>
      </c>
    </row>
    <row r="27" spans="1:19" x14ac:dyDescent="0.25">
      <c r="A27" s="19" t="s">
        <v>44</v>
      </c>
      <c r="B27" s="21" t="s">
        <v>20</v>
      </c>
      <c r="C27" t="str" cm="1">
        <f t="array" aca="1" ref="C27" ca="1">INDIRECT(Taulukko1[[#This Row],[Evaluation]])</f>
        <v>Realistic guidance</v>
      </c>
      <c r="D27" s="33" cm="1">
        <f t="array" aca="1" ref="D27" ca="1">INDIRECT(Taulukko1[[#This Row],[EBIT1-6%]])</f>
        <v>0.17651632970451012</v>
      </c>
      <c r="E27" s="33" cm="1">
        <f t="array" aca="1" ref="E27" ca="1">INDIRECT(Taulukko1[[#This Row],[EBIT7-12%]])</f>
        <v>0.17140254589060044</v>
      </c>
      <c r="F27" s="33" cm="1">
        <f t="array" aca="1" ref="F27" ca="1">INDIRECT(Taulukko1[[#This Row],[EBITfullyear%]])</f>
        <v>0.17499999999999999</v>
      </c>
      <c r="G27" s="33"/>
      <c r="H27" s="44">
        <v>1</v>
      </c>
      <c r="I27" t="str">
        <f>Taulukko1[[#This Row],[Company]]&amp;"!f1"</f>
        <v>Marimekko!f1</v>
      </c>
      <c r="J27" t="str">
        <f>Taulukko1[[#This Row],[Company]]&amp;"!g4"</f>
        <v>Marimekko!g4</v>
      </c>
      <c r="K27" t="str">
        <f>Taulukko1[[#This Row],[Company]]&amp;"!g5"</f>
        <v>Marimekko!g5</v>
      </c>
      <c r="L27" t="str">
        <f>Taulukko1[[#This Row],[Company]]&amp;"!g6"</f>
        <v>Marimekko!g6</v>
      </c>
      <c r="M27" t="str">
        <f>Taulukko1[[#This Row],[Company]]&amp;"!d6"</f>
        <v>Marimekko!d6</v>
      </c>
      <c r="N27" t="str">
        <f>Taulukko1[[#This Row],[Company]]&amp;"!e6"</f>
        <v>Marimekko!e6</v>
      </c>
      <c r="O27" t="str">
        <f>Taulukko1[[#This Row],[Company]]&amp;"!f6"</f>
        <v>Marimekko!f6</v>
      </c>
      <c r="P27" s="33" cm="1">
        <f t="array" aca="1" ref="P27" ca="1">INDIRECT(Taulukko1[[#This Row],[RTD1]])</f>
        <v>0.70105820105820116</v>
      </c>
      <c r="Q27" s="33" cm="1">
        <f t="array" aca="1" ref="Q27" ca="1">INDIRECT(Taulukko1[[#This Row],[RTD2]])</f>
        <v>1.1826923076923079</v>
      </c>
      <c r="R27" s="33" cm="1">
        <f t="array" aca="1" ref="R27" ca="1">INDIRECT(Taulukko1[[#This Row],[RTD3]])</f>
        <v>0</v>
      </c>
      <c r="S27" s="44">
        <v>2</v>
      </c>
    </row>
    <row r="28" spans="1:19" x14ac:dyDescent="0.25">
      <c r="A28" s="19" t="s">
        <v>45</v>
      </c>
      <c r="B28" s="23" t="s">
        <v>22</v>
      </c>
      <c r="C28" t="str" cm="1">
        <f t="array" aca="1" ref="C28" ca="1">INDIRECT(Taulukko1[[#This Row],[Evaluation]])</f>
        <v>Realistic consensus</v>
      </c>
      <c r="D28" s="33" cm="1">
        <f t="array" aca="1" ref="D28" ca="1">INDIRECT(Taulukko1[[#This Row],[EBIT1-6%]])</f>
        <v>0.37953817228504089</v>
      </c>
      <c r="E28" s="33" cm="1">
        <f t="array" aca="1" ref="E28" ca="1">INDIRECT(Taulukko1[[#This Row],[EBIT7-12%]])</f>
        <v>0.40542172872772886</v>
      </c>
      <c r="F28" s="33" cm="1">
        <f t="array" aca="1" ref="F28" ca="1">INDIRECT(Taulukko1[[#This Row],[EBITfullyear%]])</f>
        <v>0.39332648616542099</v>
      </c>
      <c r="G28" s="33"/>
      <c r="H28" s="44">
        <v>1</v>
      </c>
      <c r="I28" t="str">
        <f>Taulukko1[[#This Row],[Company]]&amp;"!f1"</f>
        <v>Meta!f1</v>
      </c>
      <c r="J28" t="str">
        <f>Taulukko1[[#This Row],[Company]]&amp;"!g4"</f>
        <v>Meta!g4</v>
      </c>
      <c r="K28" t="str">
        <f>Taulukko1[[#This Row],[Company]]&amp;"!g5"</f>
        <v>Meta!g5</v>
      </c>
      <c r="L28" t="str">
        <f>Taulukko1[[#This Row],[Company]]&amp;"!g6"</f>
        <v>Meta!g6</v>
      </c>
      <c r="M28" t="str">
        <f>Taulukko1[[#This Row],[Company]]&amp;"!d6"</f>
        <v>Meta!d6</v>
      </c>
      <c r="N28" t="str">
        <f>Taulukko1[[#This Row],[Company]]&amp;"!e6"</f>
        <v>Meta!e6</v>
      </c>
      <c r="O28" t="str">
        <f>Taulukko1[[#This Row],[Company]]&amp;"!f6"</f>
        <v>Meta!f6</v>
      </c>
      <c r="P28" s="33" cm="1">
        <f t="array" aca="1" ref="P28" ca="1">INDIRECT(Taulukko1[[#This Row],[RTD1]])</f>
        <v>-0.20322818862749237</v>
      </c>
      <c r="Q28" s="33" cm="1">
        <f t="array" aca="1" ref="Q28" ca="1">INDIRECT(Taulukko1[[#This Row],[RTD2]])</f>
        <v>-9.1499746450304231E-2</v>
      </c>
      <c r="R28" s="33" cm="1">
        <f t="array" aca="1" ref="R28" ca="1">INDIRECT(Taulukko1[[#This Row],[RTD3]])</f>
        <v>0</v>
      </c>
      <c r="S28" s="44">
        <v>2</v>
      </c>
    </row>
    <row r="29" spans="1:19" x14ac:dyDescent="0.25">
      <c r="A29" s="19" t="s">
        <v>46</v>
      </c>
      <c r="B29" s="23" t="s">
        <v>22</v>
      </c>
      <c r="C29" t="str" cm="1">
        <f t="array" aca="1" ref="C29" ca="1">INDIRECT(Taulukko1[[#This Row],[Evaluation]])</f>
        <v>Realistic consensus</v>
      </c>
      <c r="D29" s="33" cm="1">
        <f t="array" aca="1" ref="D29" ca="1">INDIRECT(Taulukko1[[#This Row],[EBIT1-6%]])</f>
        <v>0.44782224072435867</v>
      </c>
      <c r="E29" s="33" cm="1">
        <f t="array" aca="1" ref="E29" ca="1">INDIRECT(Taulukko1[[#This Row],[EBIT7-12%]])</f>
        <v>0.43351657790757603</v>
      </c>
      <c r="F29" s="33" cm="1">
        <f t="array" aca="1" ref="F29" ca="1">INDIRECT(Taulukko1[[#This Row],[EBITfullyear%]])</f>
        <v>0.4440085183686866</v>
      </c>
      <c r="G29" s="33"/>
      <c r="H29" s="44">
        <v>1</v>
      </c>
      <c r="I29" t="str">
        <f>Taulukko1[[#This Row],[Company]]&amp;"!f1"</f>
        <v>Microsoft!f1</v>
      </c>
      <c r="J29" t="str">
        <f>Taulukko1[[#This Row],[Company]]&amp;"!g4"</f>
        <v>Microsoft!g4</v>
      </c>
      <c r="K29" t="str">
        <f>Taulukko1[[#This Row],[Company]]&amp;"!g5"</f>
        <v>Microsoft!g5</v>
      </c>
      <c r="L29" t="str">
        <f>Taulukko1[[#This Row],[Company]]&amp;"!g6"</f>
        <v>Microsoft!g6</v>
      </c>
      <c r="M29" t="str">
        <f>Taulukko1[[#This Row],[Company]]&amp;"!d6"</f>
        <v>Microsoft!d6</v>
      </c>
      <c r="N29" t="str">
        <f>Taulukko1[[#This Row],[Company]]&amp;"!e6"</f>
        <v>Microsoft!e6</v>
      </c>
      <c r="O29" t="str">
        <f>Taulukko1[[#This Row],[Company]]&amp;"!f6"</f>
        <v>Microsoft!f6</v>
      </c>
      <c r="P29" s="33" cm="1">
        <f t="array" aca="1" ref="P29" ca="1">INDIRECT(Taulukko1[[#This Row],[RTD1]])</f>
        <v>0.16070619643277784</v>
      </c>
      <c r="Q29" s="33" cm="1">
        <f t="array" aca="1" ref="Q29" ca="1">INDIRECT(Taulukko1[[#This Row],[RTD2]])</f>
        <v>0.17084121304472055</v>
      </c>
      <c r="R29" s="33" cm="1">
        <f t="array" aca="1" ref="R29" ca="1">INDIRECT(Taulukko1[[#This Row],[RTD3]])</f>
        <v>0</v>
      </c>
      <c r="S29" s="44">
        <v>2</v>
      </c>
    </row>
    <row r="30" spans="1:19" hidden="1" x14ac:dyDescent="0.25">
      <c r="A30" s="19" t="s">
        <v>48</v>
      </c>
      <c r="B30" s="23" t="s">
        <v>22</v>
      </c>
      <c r="C30" t="str" cm="1">
        <f t="array" aca="1" ref="C30" ca="1">INDIRECT(Taulukko1[[#This Row],[Evaluation]])</f>
        <v>Realistic consensus</v>
      </c>
      <c r="D30" s="33" cm="1">
        <f t="array" aca="1" ref="D30" ca="1">INDIRECT(Taulukko1[[#This Row],[EBIT1-6%]])</f>
        <v>0.6720926661255292</v>
      </c>
      <c r="E30" s="33" cm="1">
        <f t="array" aca="1" ref="E30" ca="1">INDIRECT(Taulukko1[[#This Row],[EBIT7-12%]])</f>
        <v>0.64431295200525973</v>
      </c>
      <c r="F30" s="33" cm="1">
        <f t="array" aca="1" ref="F30" ca="1">INDIRECT(Taulukko1[[#This Row],[EBITfullyear%]])</f>
        <v>0.66391621707394477</v>
      </c>
      <c r="G30" s="33"/>
      <c r="H30" s="44">
        <v>1</v>
      </c>
      <c r="I30" t="str">
        <f>Taulukko1[[#This Row],[Company]]&amp;"!f1"</f>
        <v>Nvidia!f1</v>
      </c>
      <c r="J30" t="str">
        <f>Taulukko1[[#This Row],[Company]]&amp;"!g4"</f>
        <v>Nvidia!g4</v>
      </c>
      <c r="K30" t="str">
        <f>Taulukko1[[#This Row],[Company]]&amp;"!g5"</f>
        <v>Nvidia!g5</v>
      </c>
      <c r="L30" t="str">
        <f>Taulukko1[[#This Row],[Company]]&amp;"!g6"</f>
        <v>Nvidia!g6</v>
      </c>
      <c r="M30" t="str">
        <f>Taulukko1[[#This Row],[Company]]&amp;"!d6"</f>
        <v>Nvidia!d6</v>
      </c>
      <c r="N30" t="str">
        <f>Taulukko1[[#This Row],[Company]]&amp;"!e6"</f>
        <v>Nvidia!e6</v>
      </c>
      <c r="O30" t="str">
        <f>Taulukko1[[#This Row],[Company]]&amp;"!f6"</f>
        <v>Nvidia!f6</v>
      </c>
      <c r="P30" s="33" cm="1">
        <f t="array" aca="1" ref="P30" ca="1">INDIRECT(Taulukko1[[#This Row],[RTD1]])</f>
        <v>1.3484891419150418</v>
      </c>
      <c r="Q30" s="33" cm="1">
        <f t="array" aca="1" ref="Q30" ca="1">INDIRECT(Taulukko1[[#This Row],[RTD2]])</f>
        <v>1.737190082644628</v>
      </c>
      <c r="R30" s="33" cm="1">
        <f t="array" aca="1" ref="R30" ca="1">INDIRECT(Taulukko1[[#This Row],[RTD3]])</f>
        <v>0</v>
      </c>
      <c r="S30" s="44">
        <v>2</v>
      </c>
    </row>
    <row r="31" spans="1:19" x14ac:dyDescent="0.25">
      <c r="A31" t="s">
        <v>151</v>
      </c>
      <c r="B31" t="s">
        <v>22</v>
      </c>
      <c r="C31" t="str" cm="1">
        <f t="array" aca="1" ref="C31" ca="1">INDIRECT(Taulukko1[[#This Row],[Evaluation]])</f>
        <v>Realistic consensus</v>
      </c>
      <c r="D31" s="33" cm="1">
        <f t="array" aca="1" ref="D31" ca="1">INDIRECT(Taulukko1[[#This Row],[EBIT1-6%]])</f>
        <v>0.6720926661255292</v>
      </c>
      <c r="E31" s="33" cm="1">
        <f t="array" aca="1" ref="E31" ca="1">INDIRECT(Taulukko1[[#This Row],[EBIT7-12%]])</f>
        <v>0.64431295200525973</v>
      </c>
      <c r="F31" s="33" cm="1">
        <f t="array" aca="1" ref="F31" ca="1">INDIRECT(Taulukko1[[#This Row],[EBITfullyear%]])</f>
        <v>0.66391621707394477</v>
      </c>
      <c r="G31" s="33"/>
      <c r="H31" s="44">
        <v>1</v>
      </c>
      <c r="I31" s="44" t="str">
        <f>Taulukko1[[#This Row],[Company]]&amp;"!f1"</f>
        <v>NVidia!f1</v>
      </c>
      <c r="J31" s="44" t="str">
        <f>Taulukko1[[#This Row],[Company]]&amp;"!g4"</f>
        <v>NVidia!g4</v>
      </c>
      <c r="K31" s="44" t="str">
        <f>Taulukko1[[#This Row],[Company]]&amp;"!g5"</f>
        <v>NVidia!g5</v>
      </c>
      <c r="L31" s="44" t="str">
        <f>Taulukko1[[#This Row],[Company]]&amp;"!g6"</f>
        <v>NVidia!g6</v>
      </c>
      <c r="M31" s="44" t="str">
        <f>Taulukko1[[#This Row],[Company]]&amp;"!d6"</f>
        <v>NVidia!d6</v>
      </c>
      <c r="N31" s="44" t="str">
        <f>Taulukko1[[#This Row],[Company]]&amp;"!e6"</f>
        <v>NVidia!e6</v>
      </c>
      <c r="O31" s="44" t="str">
        <f>Taulukko1[[#This Row],[Company]]&amp;"!f6"</f>
        <v>NVidia!f6</v>
      </c>
      <c r="P31" s="33" cm="1">
        <f t="array" aca="1" ref="P31" ca="1">INDIRECT(Taulukko1[[#This Row],[RTD1]])</f>
        <v>1.3484891419150418</v>
      </c>
      <c r="Q31" s="33" cm="1">
        <f t="array" aca="1" ref="Q31" ca="1">INDIRECT(Taulukko1[[#This Row],[RTD2]])</f>
        <v>1.737190082644628</v>
      </c>
      <c r="R31" s="33" cm="1">
        <f t="array" aca="1" ref="R31" ca="1">INDIRECT(Taulukko1[[#This Row],[RTD3]])</f>
        <v>0</v>
      </c>
      <c r="S31" s="44">
        <v>2</v>
      </c>
    </row>
    <row r="32" spans="1:19" hidden="1" x14ac:dyDescent="0.25">
      <c r="A32" s="19" t="s">
        <v>50</v>
      </c>
      <c r="B32" s="21" t="s">
        <v>20</v>
      </c>
      <c r="C32" t="str" cm="1">
        <f t="array" aca="1" ref="C32" ca="1">INDIRECT(Taulukko1[[#This Row],[Evaluation]])</f>
        <v>Low EBITA guidance</v>
      </c>
      <c r="D32" s="33" cm="1">
        <f t="array" aca="1" ref="D32" ca="1">INDIRECT(Taulukko1[[#This Row],[EBIT1-6%]])</f>
        <v>0.17708333333333334</v>
      </c>
      <c r="E32" s="33" cm="1">
        <f t="array" aca="1" ref="E32" ca="1">INDIRECT(Taulukko1[[#This Row],[EBIT7-12%]])</f>
        <v>0.11147186147186147</v>
      </c>
      <c r="F32" s="33" cm="1">
        <f t="array" aca="1" ref="F32" ca="1">INDIRECT(Taulukko1[[#This Row],[EBITfullyear%]])</f>
        <v>0.16153846153846155</v>
      </c>
      <c r="G32" s="33"/>
      <c r="H32" s="44"/>
      <c r="I32" t="str">
        <f>Taulukko1[[#This Row],[Company]]&amp;"!f1"</f>
        <v>Puuilo!f1</v>
      </c>
      <c r="J32" t="str">
        <f>Taulukko1[[#This Row],[Company]]&amp;"!g4"</f>
        <v>Puuilo!g4</v>
      </c>
      <c r="K32" t="str">
        <f>Taulukko1[[#This Row],[Company]]&amp;"!g5"</f>
        <v>Puuilo!g5</v>
      </c>
      <c r="L32" t="str">
        <f>Taulukko1[[#This Row],[Company]]&amp;"!g6"</f>
        <v>Puuilo!g6</v>
      </c>
      <c r="M32" t="str">
        <f>Taulukko1[[#This Row],[Company]]&amp;"!d6"</f>
        <v>Puuilo!d6</v>
      </c>
      <c r="N32" t="str">
        <f>Taulukko1[[#This Row],[Company]]&amp;"!e6"</f>
        <v>Puuilo!e6</v>
      </c>
      <c r="O32" t="str">
        <f>Taulukko1[[#This Row],[Company]]&amp;"!f6"</f>
        <v>Puuilo!f6</v>
      </c>
      <c r="P32" s="33" cm="1">
        <f t="array" aca="1" ref="P32" ca="1">INDIRECT(Taulukko1[[#This Row],[RTD1]])</f>
        <v>0.13761467889908263</v>
      </c>
      <c r="Q32" s="33" cm="1">
        <f t="array" aca="1" ref="Q32" ca="1">INDIRECT(Taulukko1[[#This Row],[RTD2]])</f>
        <v>0.21428571428571441</v>
      </c>
      <c r="R32" s="33" cm="1">
        <f t="array" aca="1" ref="R32" ca="1">INDIRECT(Taulukko1[[#This Row],[RTD3]])</f>
        <v>0</v>
      </c>
      <c r="S32" s="44">
        <v>2</v>
      </c>
    </row>
    <row r="33" spans="1:19" x14ac:dyDescent="0.25">
      <c r="A33" s="19" t="s">
        <v>52</v>
      </c>
      <c r="B33" s="21" t="s">
        <v>20</v>
      </c>
      <c r="C33" t="str" cm="1">
        <f t="array" aca="1" ref="C33" ca="1">INDIRECT(Taulukko1[[#This Row],[Evaluation]])</f>
        <v>Realistic guidance</v>
      </c>
      <c r="D33" s="33" cm="1">
        <f t="array" aca="1" ref="D33" ca="1">INDIRECT(Taulukko1[[#This Row],[EBIT1-6%]])</f>
        <v>0.27397260273972601</v>
      </c>
      <c r="E33" s="33" cm="1">
        <f t="array" aca="1" ref="E33" ca="1">INDIRECT(Taulukko1[[#This Row],[EBIT7-12%]])</f>
        <v>0.30992723106459402</v>
      </c>
      <c r="F33" s="33" cm="1">
        <f t="array" aca="1" ref="F33" ca="1">INDIRECT(Taulukko1[[#This Row],[EBITfullyear%]])</f>
        <v>0.28499999999999998</v>
      </c>
      <c r="G33" s="33"/>
      <c r="H33" s="44">
        <v>1</v>
      </c>
      <c r="I33" t="str">
        <f>Taulukko1[[#This Row],[Company]]&amp;"!f1"</f>
        <v>Revenio!f1</v>
      </c>
      <c r="J33" t="str">
        <f>Taulukko1[[#This Row],[Company]]&amp;"!g4"</f>
        <v>Revenio!g4</v>
      </c>
      <c r="K33" t="str">
        <f>Taulukko1[[#This Row],[Company]]&amp;"!g5"</f>
        <v>Revenio!g5</v>
      </c>
      <c r="L33" t="str">
        <f>Taulukko1[[#This Row],[Company]]&amp;"!g6"</f>
        <v>Revenio!g6</v>
      </c>
      <c r="M33" t="str">
        <f>Taulukko1[[#This Row],[Company]]&amp;"!d6"</f>
        <v>Revenio!d6</v>
      </c>
      <c r="N33" t="str">
        <f>Taulukko1[[#This Row],[Company]]&amp;"!e6"</f>
        <v>Revenio!e6</v>
      </c>
      <c r="O33" t="str">
        <f>Taulukko1[[#This Row],[Company]]&amp;"!f6"</f>
        <v>Revenio!f6</v>
      </c>
      <c r="P33" s="33" cm="1">
        <f t="array" aca="1" ref="P33" ca="1">INDIRECT(Taulukko1[[#This Row],[RTD1]])</f>
        <v>8.308605341246289E-2</v>
      </c>
      <c r="Q33" s="33" cm="1">
        <f t="array" aca="1" ref="Q33" ca="1">INDIRECT(Taulukko1[[#This Row],[RTD2]])</f>
        <v>1.0101010101010166E-2</v>
      </c>
      <c r="R33" s="33" cm="1">
        <f t="array" aca="1" ref="R33" ca="1">INDIRECT(Taulukko1[[#This Row],[RTD3]])</f>
        <v>0</v>
      </c>
      <c r="S33" s="44">
        <v>2</v>
      </c>
    </row>
    <row r="34" spans="1:19" x14ac:dyDescent="0.25">
      <c r="A34" s="19" t="s">
        <v>53</v>
      </c>
      <c r="B34" s="21" t="s">
        <v>20</v>
      </c>
      <c r="C34" t="str" cm="1">
        <f t="array" aca="1" ref="C34" ca="1">INDIRECT(Taulukko1[[#This Row],[Evaluation]])</f>
        <v>Realistic guidance</v>
      </c>
      <c r="D34" s="33" cm="1">
        <f t="array" aca="1" ref="D34" ca="1">INDIRECT(Taulukko1[[#This Row],[EBIT1-6%]])</f>
        <v>6.8874405495860491E-2</v>
      </c>
      <c r="E34" s="33" cm="1">
        <f t="array" aca="1" ref="E34" ca="1">INDIRECT(Taulukko1[[#This Row],[EBIT7-12%]])</f>
        <v>6.9464544138929094E-2</v>
      </c>
      <c r="F34" s="33" cm="1">
        <f t="array" aca="1" ref="F34" ca="1">INDIRECT(Taulukko1[[#This Row],[EBITfullyear%]])</f>
        <v>6.9032258064516128E-2</v>
      </c>
      <c r="G34" s="33" t="s">
        <v>146</v>
      </c>
      <c r="H34" s="44">
        <v>1</v>
      </c>
      <c r="I34" t="str">
        <f>Taulukko1[[#This Row],[Company]]&amp;"!f1"</f>
        <v>Scanfil!f1</v>
      </c>
      <c r="J34" t="str">
        <f>Taulukko1[[#This Row],[Company]]&amp;"!g4"</f>
        <v>Scanfil!g4</v>
      </c>
      <c r="K34" t="str">
        <f>Taulukko1[[#This Row],[Company]]&amp;"!g5"</f>
        <v>Scanfil!g5</v>
      </c>
      <c r="L34" t="str">
        <f>Taulukko1[[#This Row],[Company]]&amp;"!g6"</f>
        <v>Scanfil!g6</v>
      </c>
      <c r="M34" t="str">
        <f>Taulukko1[[#This Row],[Company]]&amp;"!d6"</f>
        <v>Scanfil!d6</v>
      </c>
      <c r="N34" t="str">
        <f>Taulukko1[[#This Row],[Company]]&amp;"!e6"</f>
        <v>Scanfil!e6</v>
      </c>
      <c r="O34" t="str">
        <f>Taulukko1[[#This Row],[Company]]&amp;"!f6"</f>
        <v>Scanfil!f6</v>
      </c>
      <c r="P34" s="33" cm="1">
        <f t="array" aca="1" ref="P34" ca="1">INDIRECT(Taulukko1[[#This Row],[RTD1]])</f>
        <v>0.21303418803418817</v>
      </c>
      <c r="Q34" s="33" cm="1">
        <f t="array" aca="1" ref="Q34" ca="1">INDIRECT(Taulukko1[[#This Row],[RTD2]])</f>
        <v>0.19938650306748462</v>
      </c>
      <c r="R34" s="33" cm="1">
        <f t="array" aca="1" ref="R34" ca="1">INDIRECT(Taulukko1[[#This Row],[RTD3]])</f>
        <v>0</v>
      </c>
      <c r="S34" s="44">
        <v>2</v>
      </c>
    </row>
    <row r="35" spans="1:19" x14ac:dyDescent="0.25">
      <c r="A35" s="19" t="s">
        <v>54</v>
      </c>
      <c r="B35" s="34" t="s">
        <v>20</v>
      </c>
      <c r="C35" s="19" t="str" cm="1">
        <f t="array" aca="1" ref="C35" ca="1">INDIRECT(Taulukko1[[#This Row],[Evaluation]])</f>
        <v>Realistic guidance</v>
      </c>
      <c r="D35" s="36" cm="1">
        <f t="array" aca="1" ref="D35" ca="1">INDIRECT(Taulukko1[[#This Row],[EBIT1-6%]])</f>
        <v>4.8019207683073231E-2</v>
      </c>
      <c r="E35" s="36" cm="1">
        <f t="array" aca="1" ref="E35" ca="1">INDIRECT(Taulukko1[[#This Row],[EBIT7-12%]])</f>
        <v>5.4151624548736454E-2</v>
      </c>
      <c r="F35" s="36" cm="1">
        <f t="array" aca="1" ref="F35" ca="1">INDIRECT(Taulukko1[[#This Row],[EBITfullyear%]])</f>
        <v>4.954954954954955E-2</v>
      </c>
      <c r="G35" s="33"/>
      <c r="H35" s="44">
        <v>1</v>
      </c>
      <c r="I35" s="19" t="str">
        <f>Taulukko1[[#This Row],[Company]]&amp;"!f1"</f>
        <v>Siili!f1</v>
      </c>
      <c r="J35" s="19" t="str">
        <f>Taulukko1[[#This Row],[Company]]&amp;"!g4"</f>
        <v>Siili!g4</v>
      </c>
      <c r="K35" s="19" t="str">
        <f>Taulukko1[[#This Row],[Company]]&amp;"!g5"</f>
        <v>Siili!g5</v>
      </c>
      <c r="L35" s="19" t="str">
        <f>Taulukko1[[#This Row],[Company]]&amp;"!g6"</f>
        <v>Siili!g6</v>
      </c>
      <c r="M35" s="19" t="str">
        <f>Taulukko1[[#This Row],[Company]]&amp;"!d6"</f>
        <v>Siili!d6</v>
      </c>
      <c r="N35" s="19" t="str">
        <f>Taulukko1[[#This Row],[Company]]&amp;"!e6"</f>
        <v>Siili!e6</v>
      </c>
      <c r="O35" s="19" t="str">
        <f>Taulukko1[[#This Row],[Company]]&amp;"!f6"</f>
        <v>Siili!f6</v>
      </c>
      <c r="P35" s="36" cm="1">
        <f t="array" aca="1" ref="P35" ca="1">INDIRECT(Taulukko1[[#This Row],[RTD1]])</f>
        <v>0.2756508422664623</v>
      </c>
      <c r="Q35" s="36" cm="1">
        <f t="array" aca="1" ref="Q35" ca="1">INDIRECT(Taulukko1[[#This Row],[RTD2]])</f>
        <v>2.564102564102555E-2</v>
      </c>
      <c r="R35" s="36" cm="1">
        <f t="array" aca="1" ref="R35" ca="1">INDIRECT(Taulukko1[[#This Row],[RTD3]])</f>
        <v>0</v>
      </c>
      <c r="S35" s="44">
        <v>2</v>
      </c>
    </row>
    <row r="36" spans="1:19" x14ac:dyDescent="0.25">
      <c r="A36" s="19" t="s">
        <v>57</v>
      </c>
      <c r="B36" s="21" t="s">
        <v>20</v>
      </c>
      <c r="C36" t="str" cm="1">
        <f t="array" aca="1" ref="C36" ca="1">INDIRECT(Taulukko1[[#This Row],[Evaluation]])</f>
        <v>Realistic guidance</v>
      </c>
      <c r="D36" s="33" cm="1">
        <f t="array" aca="1" ref="D36" ca="1">INDIRECT(Taulukko1[[#This Row],[EBIT1-6%]])</f>
        <v>4.4397283531409162E-2</v>
      </c>
      <c r="E36" s="33" cm="1">
        <f t="array" aca="1" ref="E36" ca="1">INDIRECT(Taulukko1[[#This Row],[EBIT7-12%]])</f>
        <v>0.1040241448692153</v>
      </c>
      <c r="F36" s="33" cm="1">
        <f t="array" aca="1" ref="F36" ca="1">INDIRECT(Taulukko1[[#This Row],[EBITfullyear%]])</f>
        <v>6.2089552238805967E-2</v>
      </c>
      <c r="G36" s="33" t="s">
        <v>146</v>
      </c>
      <c r="H36" s="44">
        <v>1</v>
      </c>
      <c r="I36" t="str">
        <f>Taulukko1[[#This Row],[Company]]&amp;"!f1"</f>
        <v>Tokmanni!f1</v>
      </c>
      <c r="J36" t="str">
        <f>Taulukko1[[#This Row],[Company]]&amp;"!g4"</f>
        <v>Tokmanni!g4</v>
      </c>
      <c r="K36" t="str">
        <f>Taulukko1[[#This Row],[Company]]&amp;"!g5"</f>
        <v>Tokmanni!g5</v>
      </c>
      <c r="L36" t="str">
        <f>Taulukko1[[#This Row],[Company]]&amp;"!g6"</f>
        <v>Tokmanni!g6</v>
      </c>
      <c r="M36" t="str">
        <f>Taulukko1[[#This Row],[Company]]&amp;"!d6"</f>
        <v>Tokmanni!d6</v>
      </c>
      <c r="N36" t="str">
        <f>Taulukko1[[#This Row],[Company]]&amp;"!e6"</f>
        <v>Tokmanni!e6</v>
      </c>
      <c r="O36" t="str">
        <f>Taulukko1[[#This Row],[Company]]&amp;"!f6"</f>
        <v>Tokmanni!f6</v>
      </c>
      <c r="P36" s="33" cm="1">
        <f t="array" aca="1" ref="P36" ca="1">INDIRECT(Taulukko1[[#This Row],[RTD1]])</f>
        <v>0.27848925548079007</v>
      </c>
      <c r="Q36" s="33" cm="1">
        <f t="array" aca="1" ref="Q36" ca="1">INDIRECT(Taulukko1[[#This Row],[RTD2]])</f>
        <v>-5.7034220532320434E-3</v>
      </c>
      <c r="R36" s="33" cm="1">
        <f t="array" aca="1" ref="R36" ca="1">INDIRECT(Taulukko1[[#This Row],[RTD3]])</f>
        <v>0</v>
      </c>
      <c r="S36" s="44">
        <v>2</v>
      </c>
    </row>
    <row r="37" spans="1:19" x14ac:dyDescent="0.25">
      <c r="A37" s="19" t="s">
        <v>134</v>
      </c>
      <c r="B37" t="s">
        <v>20</v>
      </c>
      <c r="C37" t="str" cm="1">
        <f t="array" aca="1" ref="C37" ca="1">INDIRECT(Taulukko1[[#This Row],[Evaluation]])</f>
        <v>Realistic guidance</v>
      </c>
      <c r="D37" s="33" cm="1">
        <f t="array" aca="1" ref="D37" ca="1">INDIRECT(Taulukko1[[#This Row],[EBIT1-6%]])</f>
        <v>0.1045802517192163</v>
      </c>
      <c r="E37" s="33" cm="1">
        <f t="array" aca="1" ref="E37" ca="1">INDIRECT(Taulukko1[[#This Row],[EBIT7-12%]])</f>
        <v>0.1173265528514348</v>
      </c>
      <c r="F37" s="33" cm="1">
        <f t="array" aca="1" ref="F37" ca="1">INDIRECT(Taulukko1[[#This Row],[EBITfullyear%]])</f>
        <v>0.10793499043977055</v>
      </c>
      <c r="G37" s="33"/>
      <c r="H37" s="44">
        <v>1</v>
      </c>
      <c r="I37" t="str">
        <f>Taulukko1[[#This Row],[Company]]&amp;"!f1"</f>
        <v>UPM!f1</v>
      </c>
      <c r="J37" t="str">
        <f>Taulukko1[[#This Row],[Company]]&amp;"!g4"</f>
        <v>UPM!g4</v>
      </c>
      <c r="K37" t="str">
        <f>Taulukko1[[#This Row],[Company]]&amp;"!g5"</f>
        <v>UPM!g5</v>
      </c>
      <c r="L37" t="str">
        <f>Taulukko1[[#This Row],[Company]]&amp;"!g6"</f>
        <v>UPM!g6</v>
      </c>
      <c r="M37" t="str">
        <f>Taulukko1[[#This Row],[Company]]&amp;"!d6"</f>
        <v>UPM!d6</v>
      </c>
      <c r="N37" t="str">
        <f>Taulukko1[[#This Row],[Company]]&amp;"!e6"</f>
        <v>UPM!e6</v>
      </c>
      <c r="O37" t="str">
        <f>Taulukko1[[#This Row],[Company]]&amp;"!f6"</f>
        <v>UPM!f6</v>
      </c>
      <c r="P37" s="33" cm="1">
        <f t="array" aca="1" ref="P37" ca="1">INDIRECT(Taulukko1[[#This Row],[RTD1]])</f>
        <v>-2.7998486568293623E-2</v>
      </c>
      <c r="Q37" s="33" cm="1">
        <f t="array" aca="1" ref="Q37" ca="1">INDIRECT(Taulukko1[[#This Row],[RTD2]])</f>
        <v>0.16981132075471694</v>
      </c>
      <c r="R37" s="33" cm="1">
        <f t="array" aca="1" ref="R37" ca="1">INDIRECT(Taulukko1[[#This Row],[RTD3]])</f>
        <v>0</v>
      </c>
      <c r="S37" s="44">
        <v>2</v>
      </c>
    </row>
    <row r="38" spans="1:19" x14ac:dyDescent="0.25">
      <c r="A38" s="19" t="s">
        <v>58</v>
      </c>
      <c r="B38" s="21" t="s">
        <v>20</v>
      </c>
      <c r="C38" t="str" cm="1">
        <f t="array" aca="1" ref="C38" ca="1">INDIRECT(Taulukko1[[#This Row],[Evaluation]])</f>
        <v>Realistic guidance</v>
      </c>
      <c r="D38" s="33" cm="1">
        <f t="array" aca="1" ref="D38" ca="1">INDIRECT(Taulukko1[[#This Row],[EBIT1-6%]])</f>
        <v>0.10884886452623337</v>
      </c>
      <c r="E38" s="33" cm="1">
        <f t="array" aca="1" ref="E38" ca="1">INDIRECT(Taulukko1[[#This Row],[EBIT7-12%]])</f>
        <v>0.11875367430922987</v>
      </c>
      <c r="F38" s="33" cm="1">
        <f t="array" aca="1" ref="F38" ca="1">INDIRECT(Taulukko1[[#This Row],[EBITfullyear%]])</f>
        <v>0.1118944323933478</v>
      </c>
      <c r="G38" s="33"/>
      <c r="H38" s="44">
        <v>1</v>
      </c>
      <c r="I38" t="str">
        <f>Taulukko1[[#This Row],[Company]]&amp;"!f1"</f>
        <v>Valmet!f1</v>
      </c>
      <c r="J38" t="str">
        <f>Taulukko1[[#This Row],[Company]]&amp;"!g4"</f>
        <v>Valmet!g4</v>
      </c>
      <c r="K38" t="str">
        <f>Taulukko1[[#This Row],[Company]]&amp;"!g5"</f>
        <v>Valmet!g5</v>
      </c>
      <c r="L38" t="str">
        <f>Taulukko1[[#This Row],[Company]]&amp;"!g6"</f>
        <v>Valmet!g6</v>
      </c>
      <c r="M38" t="str">
        <f>Taulukko1[[#This Row],[Company]]&amp;"!d6"</f>
        <v>Valmet!d6</v>
      </c>
      <c r="N38" t="str">
        <f>Taulukko1[[#This Row],[Company]]&amp;"!e6"</f>
        <v>Valmet!e6</v>
      </c>
      <c r="O38" t="str">
        <f>Taulukko1[[#This Row],[Company]]&amp;"!f6"</f>
        <v>Valmet!f6</v>
      </c>
      <c r="P38" s="33" cm="1">
        <f t="array" aca="1" ref="P38" ca="1">INDIRECT(Taulukko1[[#This Row],[RTD1]])</f>
        <v>-5.0086784031738163E-2</v>
      </c>
      <c r="Q38" s="33" cm="1">
        <f t="array" aca="1" ref="Q38" ca="1">INDIRECT(Taulukko1[[#This Row],[RTD2]])</f>
        <v>8.877284595300261E-2</v>
      </c>
      <c r="R38" s="33" cm="1">
        <f t="array" aca="1" ref="R38" ca="1">INDIRECT(Taulukko1[[#This Row],[RTD3]])</f>
        <v>0</v>
      </c>
      <c r="S38" s="44">
        <v>2</v>
      </c>
    </row>
    <row r="39" spans="1:19" x14ac:dyDescent="0.25">
      <c r="A39" s="19" t="s">
        <v>59</v>
      </c>
      <c r="B39" s="22" t="s">
        <v>26</v>
      </c>
      <c r="C39" t="str" cm="1">
        <f t="array" aca="1" ref="C39" ca="1">INDIRECT(Taulukko1[[#This Row],[Evaluation]])</f>
        <v>Realistic consensus</v>
      </c>
      <c r="D39" s="33" cm="1">
        <f t="array" aca="1" ref="D39" ca="1">INDIRECT(Taulukko1[[#This Row],[EBIT1-6%]])</f>
        <v>0.13305475741753431</v>
      </c>
      <c r="E39" s="33" cm="1">
        <f t="array" aca="1" ref="E39" ca="1">INDIRECT(Taulukko1[[#This Row],[EBIT7-12%]])</f>
        <v>0.11126004317298026</v>
      </c>
      <c r="F39" s="33" cm="1">
        <f t="array" aca="1" ref="F39" ca="1">INDIRECT(Taulukko1[[#This Row],[EBITfullyear%]])</f>
        <v>0.12764236295902076</v>
      </c>
      <c r="G39" s="33"/>
      <c r="H39" s="44">
        <v>1</v>
      </c>
      <c r="I39" t="str">
        <f>Taulukko1[[#This Row],[Company]]&amp;"!f1"</f>
        <v>Volvo!f1</v>
      </c>
      <c r="J39" t="str">
        <f>Taulukko1[[#This Row],[Company]]&amp;"!g4"</f>
        <v>Volvo!g4</v>
      </c>
      <c r="K39" t="str">
        <f>Taulukko1[[#This Row],[Company]]&amp;"!g5"</f>
        <v>Volvo!g5</v>
      </c>
      <c r="L39" t="str">
        <f>Taulukko1[[#This Row],[Company]]&amp;"!g6"</f>
        <v>Volvo!g6</v>
      </c>
      <c r="M39" t="str">
        <f>Taulukko1[[#This Row],[Company]]&amp;"!d6"</f>
        <v>Volvo!d6</v>
      </c>
      <c r="N39" t="str">
        <f>Taulukko1[[#This Row],[Company]]&amp;"!e6"</f>
        <v>Volvo!e6</v>
      </c>
      <c r="O39" t="str">
        <f>Taulukko1[[#This Row],[Company]]&amp;"!f6"</f>
        <v>Volvo!f6</v>
      </c>
      <c r="P39" s="33" cm="1">
        <f t="array" aca="1" ref="P39" ca="1">INDIRECT(Taulukko1[[#This Row],[RTD1]])</f>
        <v>-4.0138787977639701E-2</v>
      </c>
      <c r="Q39" s="33" cm="1">
        <f t="array" aca="1" ref="Q39" ca="1">INDIRECT(Taulukko1[[#This Row],[RTD2]])</f>
        <v>-0.12785418951987171</v>
      </c>
      <c r="R39" s="33" cm="1">
        <f t="array" aca="1" ref="R39" ca="1">INDIRECT(Taulukko1[[#This Row],[RTD3]])</f>
        <v>0</v>
      </c>
      <c r="S39" s="44">
        <v>2</v>
      </c>
    </row>
    <row r="40" spans="1:19" hidden="1" x14ac:dyDescent="0.25">
      <c r="A40" s="19" t="s">
        <v>56</v>
      </c>
      <c r="B40" s="21" t="s">
        <v>20</v>
      </c>
      <c r="C40" t="str" cm="1">
        <f t="array" aca="1" ref="C40" ca="1">INDIRECT(Taulukko1[[#This Row],[Evaluation]])</f>
        <v>Realistic guidance</v>
      </c>
      <c r="D40" s="33" cm="1">
        <f t="array" aca="1" ref="D40" ca="1">INDIRECT(Taulukko1[[#This Row],[EBIT1-6%]])</f>
        <v>0.46086956521739131</v>
      </c>
      <c r="E40" s="33" cm="1">
        <f t="array" aca="1" ref="E40" ca="1">INDIRECT(Taulukko1[[#This Row],[EBIT7-12%]])</f>
        <v>0.38738738738738732</v>
      </c>
      <c r="F40" s="33" cm="1">
        <f t="array" aca="1" ref="F40" ca="1">INDIRECT(Taulukko1[[#This Row],[EBITfullyear%]])</f>
        <v>0.42477876106194684</v>
      </c>
      <c r="G40" s="33"/>
      <c r="H40" s="44"/>
      <c r="I40" t="str">
        <f>Taulukko1[[#This Row],[Company]]&amp;"!f1"</f>
        <v>Titanium!f1</v>
      </c>
      <c r="J40" t="str">
        <f>Taulukko1[[#This Row],[Company]]&amp;"!g4"</f>
        <v>Titanium!g4</v>
      </c>
      <c r="K40" t="str">
        <f>Taulukko1[[#This Row],[Company]]&amp;"!g5"</f>
        <v>Titanium!g5</v>
      </c>
      <c r="L40" t="str">
        <f>Taulukko1[[#This Row],[Company]]&amp;"!g6"</f>
        <v>Titanium!g6</v>
      </c>
      <c r="M40" t="str">
        <f>Taulukko1[[#This Row],[Company]]&amp;"!d6"</f>
        <v>Titanium!d6</v>
      </c>
      <c r="N40" t="str">
        <f>Taulukko1[[#This Row],[Company]]&amp;"!e6"</f>
        <v>Titanium!e6</v>
      </c>
      <c r="O40" t="str">
        <f>Taulukko1[[#This Row],[Company]]&amp;"!f6"</f>
        <v>Titanium!f6</v>
      </c>
      <c r="P40" s="33" cm="1">
        <f t="array" aca="1" ref="P40" ca="1">INDIRECT(Taulukko1[[#This Row],[RTD1]])</f>
        <v>-0.14814814814814814</v>
      </c>
      <c r="Q40" s="33" cm="1">
        <f t="array" aca="1" ref="Q40" ca="1">INDIRECT(Taulukko1[[#This Row],[RTD2]])</f>
        <v>-0.20895522388059706</v>
      </c>
      <c r="R40" s="33" cm="1">
        <f t="array" aca="1" ref="R40" ca="1">INDIRECT(Taulukko1[[#This Row],[RTD3]])</f>
        <v>0</v>
      </c>
      <c r="S40" s="44">
        <v>2</v>
      </c>
    </row>
    <row r="41" spans="1:19" x14ac:dyDescent="0.25">
      <c r="A41" s="19" t="s">
        <v>30</v>
      </c>
      <c r="B41" s="34" t="s">
        <v>20</v>
      </c>
      <c r="C41" t="str" cm="1">
        <f t="array" aca="1" ref="C41" ca="1">INDIRECT(Taulukko1[[#This Row],[Evaluation]])</f>
        <v>Low EBITA guidance</v>
      </c>
      <c r="D41" s="36" cm="1">
        <f t="array" aca="1" ref="D41" ca="1">INDIRECT(Taulukko1[[#This Row],[EBIT1-6%]])</f>
        <v>0.10125744540039709</v>
      </c>
      <c r="E41" s="36" cm="1">
        <f t="array" aca="1" ref="E41" ca="1">INDIRECT(Taulukko1[[#This Row],[EBIT7-12%]])</f>
        <v>5.2815146985550621E-2</v>
      </c>
      <c r="F41" s="36" cm="1">
        <f t="array" aca="1" ref="F41" ca="1">INDIRECT(Taulukko1[[#This Row],[EBITfullyear%]])</f>
        <v>8.7454450806871434E-2</v>
      </c>
      <c r="G41" s="36"/>
      <c r="H41" s="44">
        <v>1</v>
      </c>
      <c r="I41" s="35" t="str">
        <f>Taulukko1[[#This Row],[Company]]&amp;"!f1"</f>
        <v>Digia!f1</v>
      </c>
      <c r="J41" s="35" t="str">
        <f>Taulukko1[[#This Row],[Company]]&amp;"!g4"</f>
        <v>Digia!g4</v>
      </c>
      <c r="K41" s="35" t="str">
        <f>Taulukko1[[#This Row],[Company]]&amp;"!g5"</f>
        <v>Digia!g5</v>
      </c>
      <c r="L41" s="35" t="str">
        <f>Taulukko1[[#This Row],[Company]]&amp;"!g6"</f>
        <v>Digia!g6</v>
      </c>
      <c r="M41" s="35" t="str">
        <f>Taulukko1[[#This Row],[Company]]&amp;"!d6"</f>
        <v>Digia!d6</v>
      </c>
      <c r="N41" s="35" t="str">
        <f>Taulukko1[[#This Row],[Company]]&amp;"!e6"</f>
        <v>Digia!e6</v>
      </c>
      <c r="O41" s="35" t="str">
        <f>Taulukko1[[#This Row],[Company]]&amp;"!f6"</f>
        <v>Digia!f6</v>
      </c>
      <c r="P41" s="36" cm="1">
        <f t="array" aca="1" ref="P41" ca="1">INDIRECT(Taulukko1[[#This Row],[RTD1]])</f>
        <v>8.7832973362131028E-2</v>
      </c>
      <c r="Q41" s="36" cm="1">
        <f t="array" aca="1" ref="Q41" ca="1">INDIRECT(Taulukko1[[#This Row],[RTD2]])</f>
        <v>0.30769230769230793</v>
      </c>
      <c r="R41" s="36" cm="1">
        <f t="array" aca="1" ref="R41" ca="1">INDIRECT(Taulukko1[[#This Row],[RTD3]])</f>
        <v>0</v>
      </c>
      <c r="S41" s="44">
        <v>1</v>
      </c>
    </row>
    <row r="42" spans="1:19" x14ac:dyDescent="0.25">
      <c r="A42" s="19" t="s">
        <v>35</v>
      </c>
      <c r="B42" s="21" t="s">
        <v>20</v>
      </c>
      <c r="C42" t="str" cm="1">
        <f t="array" aca="1" ref="C42" ca="1">INDIRECT(Taulukko1[[#This Row],[Evaluation]])</f>
        <v>Low EBITDA guidance</v>
      </c>
      <c r="D42" s="33" cm="1">
        <f t="array" aca="1" ref="D42" ca="1">INDIRECT(Taulukko1[[#This Row],[EBIT1-6%]])</f>
        <v>0.20251798561151077</v>
      </c>
      <c r="E42" s="33" cm="1">
        <f t="array" aca="1" ref="E42" ca="1">INDIRECT(Taulukko1[[#This Row],[EBIT7-12%]])</f>
        <v>0.17989690721649487</v>
      </c>
      <c r="F42" s="33" cm="1">
        <f t="array" aca="1" ref="F42" ca="1">INDIRECT(Taulukko1[[#This Row],[EBITfullyear%]])</f>
        <v>0.19666666666666666</v>
      </c>
      <c r="G42" s="33"/>
      <c r="H42" s="44">
        <v>1</v>
      </c>
      <c r="I42" t="str">
        <f>Taulukko1[[#This Row],[Company]]&amp;"!f1"</f>
        <v>Kemira!f1</v>
      </c>
      <c r="J42" t="str">
        <f>Taulukko1[[#This Row],[Company]]&amp;"!g4"</f>
        <v>Kemira!g4</v>
      </c>
      <c r="K42" t="str">
        <f>Taulukko1[[#This Row],[Company]]&amp;"!g5"</f>
        <v>Kemira!g5</v>
      </c>
      <c r="L42" t="str">
        <f>Taulukko1[[#This Row],[Company]]&amp;"!g6"</f>
        <v>Kemira!g6</v>
      </c>
      <c r="M42" t="str">
        <f>Taulukko1[[#This Row],[Company]]&amp;"!d6"</f>
        <v>Kemira!d6</v>
      </c>
      <c r="N42" t="str">
        <f>Taulukko1[[#This Row],[Company]]&amp;"!e6"</f>
        <v>Kemira!e6</v>
      </c>
      <c r="O42" t="str">
        <f>Taulukko1[[#This Row],[Company]]&amp;"!f6"</f>
        <v>Kemira!f6</v>
      </c>
      <c r="P42" s="33" cm="1">
        <f t="array" aca="1" ref="P42" ca="1">INDIRECT(Taulukko1[[#This Row],[RTD1]])</f>
        <v>-0.13631067961165044</v>
      </c>
      <c r="Q42" s="33" cm="1">
        <f t="array" aca="1" ref="Q42" ca="1">INDIRECT(Taulukko1[[#This Row],[RTD2]])</f>
        <v>-0.10634920634920642</v>
      </c>
      <c r="R42" s="33" cm="1">
        <f t="array" aca="1" ref="R42" ca="1">INDIRECT(Taulukko1[[#This Row],[RTD3]])</f>
        <v>0</v>
      </c>
      <c r="S42" s="44">
        <v>1</v>
      </c>
    </row>
    <row r="43" spans="1:19" x14ac:dyDescent="0.25">
      <c r="A43" s="19" t="s">
        <v>49</v>
      </c>
      <c r="B43" s="21" t="s">
        <v>20</v>
      </c>
      <c r="C43" t="str" cm="1">
        <f t="array" aca="1" ref="C43" ca="1">INDIRECT(Taulukko1[[#This Row],[Evaluation]])</f>
        <v>Low EBIT guidance</v>
      </c>
      <c r="D43" s="33" cm="1">
        <f t="array" aca="1" ref="D43" ca="1">INDIRECT(Taulukko1[[#This Row],[EBIT1-6%]])</f>
        <v>0.29241877256317689</v>
      </c>
      <c r="E43" s="33" cm="1">
        <f t="array" aca="1" ref="E43" ca="1">INDIRECT(Taulukko1[[#This Row],[EBIT7-12%]])</f>
        <v>0.21428571428571427</v>
      </c>
      <c r="F43" s="33" cm="1">
        <f t="array" aca="1" ref="F43" ca="1">INDIRECT(Taulukko1[[#This Row],[EBITfullyear%]])</f>
        <v>0.27042801556420232</v>
      </c>
      <c r="G43" s="33" t="s">
        <v>42</v>
      </c>
      <c r="H43" s="44">
        <v>1</v>
      </c>
      <c r="I43" t="str">
        <f>Taulukko1[[#This Row],[Company]]&amp;"!f1"</f>
        <v>Orion!f1</v>
      </c>
      <c r="J43" t="str">
        <f>Taulukko1[[#This Row],[Company]]&amp;"!g4"</f>
        <v>Orion!g4</v>
      </c>
      <c r="K43" t="str">
        <f>Taulukko1[[#This Row],[Company]]&amp;"!g5"</f>
        <v>Orion!g5</v>
      </c>
      <c r="L43" t="str">
        <f>Taulukko1[[#This Row],[Company]]&amp;"!g6"</f>
        <v>Orion!g6</v>
      </c>
      <c r="M43" t="str">
        <f>Taulukko1[[#This Row],[Company]]&amp;"!d6"</f>
        <v>Orion!d6</v>
      </c>
      <c r="N43" t="str">
        <f>Taulukko1[[#This Row],[Company]]&amp;"!e6"</f>
        <v>Orion!e6</v>
      </c>
      <c r="O43" t="str">
        <f>Taulukko1[[#This Row],[Company]]&amp;"!f6"</f>
        <v>Orion!f6</v>
      </c>
      <c r="P43" s="33" cm="1">
        <f t="array" aca="1" ref="P43" ca="1">INDIRECT(Taulukko1[[#This Row],[RTD1]])</f>
        <v>0.27502876869965487</v>
      </c>
      <c r="Q43" s="33" cm="1">
        <f t="array" aca="1" ref="Q43" ca="1">INDIRECT(Taulukko1[[#This Row],[RTD2]])</f>
        <v>0.6875</v>
      </c>
      <c r="R43" s="33" cm="1">
        <f t="array" aca="1" ref="R43" ca="1">INDIRECT(Taulukko1[[#This Row],[RTD3]])</f>
        <v>0</v>
      </c>
      <c r="S43" s="44">
        <v>1</v>
      </c>
    </row>
    <row r="44" spans="1:19" x14ac:dyDescent="0.25">
      <c r="A44" s="19" t="s">
        <v>50</v>
      </c>
      <c r="B44" s="21" t="s">
        <v>20</v>
      </c>
      <c r="C44" t="str" cm="1">
        <f t="array" aca="1" ref="C44" ca="1">INDIRECT(Taulukko1[[#This Row],[Evaluation]])</f>
        <v>Low EBITA guidance</v>
      </c>
      <c r="D44" s="33" cm="1">
        <f t="array" aca="1" ref="D44" ca="1">INDIRECT(Taulukko1[[#This Row],[EBIT1-6%]])</f>
        <v>0.17708333333333334</v>
      </c>
      <c r="E44" s="33" cm="1">
        <f t="array" aca="1" ref="E44" ca="1">INDIRECT(Taulukko1[[#This Row],[EBIT7-12%]])</f>
        <v>0.11147186147186147</v>
      </c>
      <c r="F44" s="33" cm="1">
        <f t="array" aca="1" ref="F44" ca="1">INDIRECT(Taulukko1[[#This Row],[EBITfullyear%]])</f>
        <v>0.16153846153846155</v>
      </c>
      <c r="G44" s="33"/>
      <c r="H44" s="44">
        <v>1</v>
      </c>
      <c r="I44" s="44" t="str">
        <f>Taulukko1[[#This Row],[Company]]&amp;"!f1"</f>
        <v>Puuilo!f1</v>
      </c>
      <c r="J44" s="44" t="str">
        <f>Taulukko1[[#This Row],[Company]]&amp;"!g4"</f>
        <v>Puuilo!g4</v>
      </c>
      <c r="K44" s="44" t="str">
        <f>Taulukko1[[#This Row],[Company]]&amp;"!g5"</f>
        <v>Puuilo!g5</v>
      </c>
      <c r="L44" s="44" t="str">
        <f>Taulukko1[[#This Row],[Company]]&amp;"!g6"</f>
        <v>Puuilo!g6</v>
      </c>
      <c r="M44" s="44" t="str">
        <f>Taulukko1[[#This Row],[Company]]&amp;"!d6"</f>
        <v>Puuilo!d6</v>
      </c>
      <c r="N44" s="44" t="str">
        <f>Taulukko1[[#This Row],[Company]]&amp;"!e6"</f>
        <v>Puuilo!e6</v>
      </c>
      <c r="O44" s="44" t="str">
        <f>Taulukko1[[#This Row],[Company]]&amp;"!f6"</f>
        <v>Puuilo!f6</v>
      </c>
      <c r="P44" s="33" cm="1">
        <f t="array" aca="1" ref="P44" ca="1">INDIRECT(Taulukko1[[#This Row],[RTD1]])</f>
        <v>0.13761467889908263</v>
      </c>
      <c r="Q44" s="33" cm="1">
        <f t="array" aca="1" ref="Q44" ca="1">INDIRECT(Taulukko1[[#This Row],[RTD2]])</f>
        <v>0.21428571428571441</v>
      </c>
      <c r="R44" s="33" cm="1">
        <f t="array" aca="1" ref="R44" ca="1">INDIRECT(Taulukko1[[#This Row],[RTD3]])</f>
        <v>0</v>
      </c>
      <c r="S44" s="44">
        <v>1</v>
      </c>
    </row>
    <row r="45" spans="1:19" x14ac:dyDescent="0.25">
      <c r="A45" s="19" t="s">
        <v>51</v>
      </c>
      <c r="B45" s="21" t="s">
        <v>20</v>
      </c>
      <c r="C45" t="str" cm="1">
        <f t="array" aca="1" ref="C45" ca="1">INDIRECT(Taulukko1[[#This Row],[Evaluation]])</f>
        <v>Low EBITDA guidance</v>
      </c>
      <c r="D45" s="33" cm="1">
        <f t="array" aca="1" ref="D45" ca="1">INDIRECT(Taulukko1[[#This Row],[EBIT1-6%]])</f>
        <v>9.9257258609047938E-2</v>
      </c>
      <c r="E45" s="33" cm="1">
        <f t="array" aca="1" ref="E45" ca="1">INDIRECT(Taulukko1[[#This Row],[EBIT7-12%]])</f>
        <v>8.2851637764932567E-2</v>
      </c>
      <c r="F45" s="33" cm="1">
        <f t="array" aca="1" ref="F45" ca="1">INDIRECT(Taulukko1[[#This Row],[EBITfullyear%]])</f>
        <v>9.5000000000000001E-2</v>
      </c>
      <c r="G45" s="33" t="s">
        <v>42</v>
      </c>
      <c r="H45" s="44">
        <v>1</v>
      </c>
      <c r="I45" t="str">
        <f>Taulukko1[[#This Row],[Company]]&amp;"!f1"</f>
        <v>Raute!f1</v>
      </c>
      <c r="J45" t="str">
        <f>Taulukko1[[#This Row],[Company]]&amp;"!g4"</f>
        <v>Raute!g4</v>
      </c>
      <c r="K45" t="str">
        <f>Taulukko1[[#This Row],[Company]]&amp;"!g5"</f>
        <v>Raute!g5</v>
      </c>
      <c r="L45" t="str">
        <f>Taulukko1[[#This Row],[Company]]&amp;"!g6"</f>
        <v>Raute!g6</v>
      </c>
      <c r="M45" t="str">
        <f>Taulukko1[[#This Row],[Company]]&amp;"!d6"</f>
        <v>Raute!d6</v>
      </c>
      <c r="N45" t="str">
        <f>Taulukko1[[#This Row],[Company]]&amp;"!e6"</f>
        <v>Raute!e6</v>
      </c>
      <c r="O45" t="str">
        <f>Taulukko1[[#This Row],[Company]]&amp;"!f6"</f>
        <v>Raute!f6</v>
      </c>
      <c r="P45" s="33" cm="1">
        <f t="array" aca="1" ref="P45" ca="1">INDIRECT(Taulukko1[[#This Row],[RTD1]])</f>
        <v>0.47804391217564857</v>
      </c>
      <c r="Q45" s="33" cm="1">
        <f t="array" aca="1" ref="Q45" ca="1">INDIRECT(Taulukko1[[#This Row],[RTD2]])</f>
        <v>1.2272727272727271</v>
      </c>
      <c r="R45" s="33" cm="1">
        <f t="array" aca="1" ref="R45" ca="1">INDIRECT(Taulukko1[[#This Row],[RTD3]])</f>
        <v>0</v>
      </c>
      <c r="S45" s="44">
        <v>1</v>
      </c>
    </row>
    <row r="46" spans="1:19" x14ac:dyDescent="0.25">
      <c r="A46" s="19" t="s">
        <v>139</v>
      </c>
      <c r="B46" t="s">
        <v>20</v>
      </c>
      <c r="C46" t="str" cm="1">
        <f t="array" aca="1" ref="C46" ca="1">INDIRECT(Taulukko1[[#This Row],[Evaluation]])</f>
        <v>Low EBIT guidance</v>
      </c>
      <c r="D46" s="33" cm="1">
        <f t="array" aca="1" ref="D46" ca="1">INDIRECT(Taulukko1[[#This Row],[EBIT1-6%]])</f>
        <v>0.11752577319587629</v>
      </c>
      <c r="E46" s="33" cm="1">
        <f t="array" aca="1" ref="E46" ca="1">INDIRECT(Taulukko1[[#This Row],[EBIT7-12%]])</f>
        <v>3.6065573770491792E-2</v>
      </c>
      <c r="F46" s="33" cm="1">
        <f t="array" aca="1" ref="F46" ca="1">INDIRECT(Taulukko1[[#This Row],[EBITfullyear%]])</f>
        <v>9.8039215686274508E-2</v>
      </c>
      <c r="G46" s="33"/>
      <c r="H46" s="44">
        <v>1</v>
      </c>
      <c r="I46" t="str">
        <f>Taulukko1[[#This Row],[Company]]&amp;"!f1"</f>
        <v>Talenom!f1</v>
      </c>
      <c r="J46" t="str">
        <f>Taulukko1[[#This Row],[Company]]&amp;"!g4"</f>
        <v>Talenom!g4</v>
      </c>
      <c r="K46" t="str">
        <f>Taulukko1[[#This Row],[Company]]&amp;"!g5"</f>
        <v>Talenom!g5</v>
      </c>
      <c r="L46" t="str">
        <f>Taulukko1[[#This Row],[Company]]&amp;"!g6"</f>
        <v>Talenom!g6</v>
      </c>
      <c r="M46" t="str">
        <f>Taulukko1[[#This Row],[Company]]&amp;"!d6"</f>
        <v>Talenom!d6</v>
      </c>
      <c r="N46" t="str">
        <f>Taulukko1[[#This Row],[Company]]&amp;"!e6"</f>
        <v>Talenom!e6</v>
      </c>
      <c r="O46" t="str">
        <f>Taulukko1[[#This Row],[Company]]&amp;"!f6"</f>
        <v>Talenom!f6</v>
      </c>
      <c r="P46" s="33" cm="1">
        <f t="array" aca="1" ref="P46" ca="1">INDIRECT(Taulukko1[[#This Row],[RTD1]])</f>
        <v>5.4347826086956541E-2</v>
      </c>
      <c r="Q46" s="33" cm="1">
        <f t="array" aca="1" ref="Q46" ca="1">INDIRECT(Taulukko1[[#This Row],[RTD2]])</f>
        <v>0.78125</v>
      </c>
      <c r="R46" s="33" cm="1">
        <f t="array" aca="1" ref="R46" ca="1">INDIRECT(Taulukko1[[#This Row],[RTD3]])</f>
        <v>0</v>
      </c>
      <c r="S46" s="44">
        <v>1</v>
      </c>
    </row>
  </sheetData>
  <phoneticPr fontId="6" type="noConversion"/>
  <conditionalFormatting sqref="C1:C44 D4:F4 P4:R4 J45:J1048576">
    <cfRule type="cellIs" dxfId="7" priority="2" operator="equal">
      <formula>"Low EBIT GUIDANCE"</formula>
    </cfRule>
    <cfRule type="cellIs" dxfId="6" priority="3" operator="equal">
      <formula>"Low EBITA GUIDANCE"</formula>
    </cfRule>
  </conditionalFormatting>
  <conditionalFormatting sqref="C4:C46">
    <cfRule type="cellIs" dxfId="5" priority="1" operator="equal">
      <formula>"Low EBITDA guidance"</formula>
    </cfRule>
  </conditionalFormatting>
  <conditionalFormatting sqref="D4:F4 C1:C44 P4:R4 J45:J1048576">
    <cfRule type="cellIs" dxfId="4" priority="12" operator="equal">
      <formula>"Realistic consensus"</formula>
    </cfRule>
    <cfRule type="cellIs" dxfId="3" priority="13" operator="equal">
      <formula>"Not realistic guidance"</formula>
    </cfRule>
    <cfRule type="cellIs" dxfId="2" priority="14" operator="equal">
      <formula>"Realistic guidance"</formula>
    </cfRule>
  </conditionalFormatting>
  <conditionalFormatting sqref="E4:E46">
    <cfRule type="expression" dxfId="1" priority="4">
      <formula>E4&gt;D4</formula>
    </cfRule>
    <cfRule type="expression" dxfId="0" priority="5">
      <formula>E4&lt;D4</formula>
    </cfRule>
  </conditionalFormatting>
  <hyperlinks>
    <hyperlink ref="A38" location="Valmet!A1" display="Valmet!A1" xr:uid="{09D37EF1-39A5-43FB-983D-4795653ADE28}"/>
    <hyperlink ref="A23" location="Konecranes!A1" display="Konecranes!A1" xr:uid="{A2768814-5C7E-48BA-AF96-F5DBFB302304}"/>
    <hyperlink ref="A22" location="Kone!A1" display="Kone!A1" xr:uid="{EEA7277B-5AA0-4A6F-B846-A680A77FE3B4}"/>
    <hyperlink ref="A5" location="Fiskars!A1" display="Fiskars!A1" xr:uid="{093A86EC-5344-4B49-9A72-E30A94384338}"/>
    <hyperlink ref="A42" location="Kemira!A1" display="Kemira!A1" xr:uid="{D0C07A25-2459-490E-9214-1AEBB1E62E31}"/>
    <hyperlink ref="A14" location="Admicom!A1" display="Admicom!A1" xr:uid="{74AF8DDE-AD65-4372-976E-FA9CF1B96371}"/>
    <hyperlink ref="A32" location="Puuilo!A1" display="Puuilo!A1" xr:uid="{0D48E2B6-FA14-49FA-A719-3C5E97EFAB74}"/>
    <hyperlink ref="A4" location="Capman!A1" display="Capman!A1" xr:uid="{6D951246-0AFA-47ED-80C1-309BA1E603B5}"/>
    <hyperlink ref="A20" location="Kamux!A1" display="Kamux!A1" xr:uid="{0143F65C-8745-43D9-A0C4-151E7208A6E9}"/>
    <hyperlink ref="A27" location="Marimekko!A1" display="Marimekko!A1" xr:uid="{7C1A17A5-979D-428C-A17D-8619558EA2EB}"/>
    <hyperlink ref="A21" location="Kesko!A1" display="Kesko!A1" xr:uid="{82537791-9028-4105-833F-DD5501123F20}"/>
    <hyperlink ref="A35" location="Siili!A1" display="Siili!A1" xr:uid="{06E2FCC2-AF85-4582-9972-A1DD2EF79EAF}"/>
    <hyperlink ref="A45" location="Raute!A1" display="Raute!A1" xr:uid="{416E6679-FFC9-4706-AEC3-4A36ED73D4FD}"/>
    <hyperlink ref="A36" location="Tokmanni!A1" display="Tokmanni!A1" xr:uid="{DD5C6751-F2FA-4ADA-B022-237F8D8206D6}"/>
    <hyperlink ref="A43" location="Orion!A1" display="Orion!A1" xr:uid="{85CC5BEF-ABEC-4555-8D23-92DB09E4F516}"/>
    <hyperlink ref="A19" location="Etteplan!A1" display="Etteplan!A1" xr:uid="{CB31E2CE-B3C9-40C9-A5F3-F16E61F0833C}"/>
    <hyperlink ref="A25" location="Lapwall!A1" display="Lapwall!A1" xr:uid="{8B0550DF-FE77-4BC0-A796-0A536B53FF49}"/>
    <hyperlink ref="A9" location="Tecnotree!A1" display="Tecnotree!A1" xr:uid="{0E078F7A-D582-40DC-9123-92310094B2B8}"/>
    <hyperlink ref="A6" location="Kempower!A1" display="Kempower!A1" xr:uid="{45F07D92-D14E-43EC-A5D6-A310E0FC3B9B}"/>
    <hyperlink ref="A40" location="Titanium!A1" display="Titanium!A1" xr:uid="{596C5830-0AB9-4625-8E86-985EA1E75F38}"/>
    <hyperlink ref="A24" location="Koskisen!A1" display="Koskisen" xr:uid="{8F2DEF30-6E57-4EB6-A425-80E6A788DDF8}"/>
    <hyperlink ref="A7" location="Nokia!A1" display="Nokia" xr:uid="{4D8C7ACE-5E00-438A-A79D-076E0BD6D2ED}"/>
    <hyperlink ref="A33" location="Revenio!A1" display="Revenio" xr:uid="{21FD3848-A81E-4B37-815B-45FFB3F17B9F}"/>
    <hyperlink ref="A34" location="Scanfil!A1" display="Scanfil" xr:uid="{A94BEC3F-F6F1-4FA2-BD75-307F9631125A}"/>
    <hyperlink ref="A11" location="AtlasCopco!A1" display="AtlasCopco!A1" xr:uid="{1BF83060-8763-43BF-9B5C-FBB0A4E2C928}"/>
    <hyperlink ref="A39" location="Volvo!A1" display="Volvo!A1" xr:uid="{3C5D7C9D-E5D3-46FB-B6C2-41EDF22F4C7A}"/>
    <hyperlink ref="A12" location="Epiroc!A1" display="Epiroc!A1" xr:uid="{DC34E355-C9B0-4C48-9550-34AA25BF90A9}"/>
    <hyperlink ref="A17" location="AssaAbloy!A1" display="AssaAbloy!A1" xr:uid="{1000C10B-8DEF-410B-B6E1-BD566C89CD18}"/>
    <hyperlink ref="A18" location="Booking!A1" display="Booking" xr:uid="{A3968679-6616-473C-BCF3-97215CB5D63E}"/>
    <hyperlink ref="A10" location="Apple!A1" display="Apple!A1" xr:uid="{72D80C55-5218-4BCC-8EF7-CC6F21FDFA4A}"/>
    <hyperlink ref="A15" location="Alphabet!A1" display="Alphabet!A1" xr:uid="{36FC82BF-6EF4-432A-8A14-A6D00869D3EB}"/>
    <hyperlink ref="A30" location="Nvidia!A1" display="Nvidia!A1" xr:uid="{7B670C58-963C-4B6A-B837-6632ACAE578F}"/>
    <hyperlink ref="A16" location="Amazon!A1" display="Amazon!A1" xr:uid="{2A2815E1-28CC-4952-BBD5-E89E12E29C2D}"/>
    <hyperlink ref="A29" location="Microsoft!A1" display="Microsoft!A1" xr:uid="{0AE3C27A-545F-476E-9C29-DB8C031ABAAB}"/>
    <hyperlink ref="A28" location="Meta!A1" display="Meta!A1" xr:uid="{4CDCEAED-A5CA-4417-986A-0A0543BD3BEF}"/>
    <hyperlink ref="A41:G41" location="Digia!A1" display="Digia" xr:uid="{D4EBBEF0-A91D-4AA1-B8AE-AE4C0F6DB442}"/>
    <hyperlink ref="A41" location="Digia!A1" display="Digia" xr:uid="{684566C1-7093-4D57-B358-4BE3C01CDF4D}"/>
    <hyperlink ref="A26" location="Lassila!A1" display="Lassila" xr:uid="{79261586-1965-43C1-BDEB-0137108C1A58}"/>
    <hyperlink ref="A37" location="UPM!A1" display="UPM" xr:uid="{9AF7DE0A-E633-4759-B7C9-ED48BD235E36}"/>
    <hyperlink ref="A8" location="Nokian_Tyres!A1" display="Nokian_Tyres" xr:uid="{40E42C70-54F9-4CBC-AA1E-6E6C7D2A1AD2}"/>
    <hyperlink ref="A46" location="Talenom!A1" display="Talenom" xr:uid="{11198BEA-78E5-45B9-8A4F-C1BE89DF8CB2}"/>
    <hyperlink ref="A13" location="Qt!A1" display="Qt" xr:uid="{62A1728B-0435-4820-BE84-3AA4BC7DA73F}"/>
    <hyperlink ref="A44" location="Puuilo!A1" display="Puuilo" xr:uid="{579440C9-6749-4CDA-A032-32F439536F87}"/>
  </hyperlinks>
  <pageMargins left="0.7" right="0.7" top="0.75" bottom="0.75" header="0.3" footer="0.3"/>
  <pageSetup paperSize="9" scale="7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CBCFC-E313-468F-A375-D3A2A425928E}">
  <sheetPr codeName="Taul20">
    <tabColor rgb="FFFFFF00"/>
    <pageSetUpPr fitToPage="1"/>
  </sheetPr>
  <dimension ref="A1:I7"/>
  <sheetViews>
    <sheetView workbookViewId="0">
      <selection activeCell="G4" sqref="G4"/>
    </sheetView>
  </sheetViews>
  <sheetFormatPr defaultRowHeight="15" x14ac:dyDescent="0.25"/>
  <cols>
    <col min="1" max="1" width="10.140625" bestFit="1" customWidth="1"/>
    <col min="2" max="3" width="6.85546875" bestFit="1" customWidth="1"/>
    <col min="4" max="4" width="7.140625" style="1" bestFit="1" customWidth="1"/>
    <col min="5" max="5" width="9.42578125" customWidth="1"/>
    <col min="6" max="6" width="18.28515625" bestFit="1" customWidth="1"/>
    <col min="7" max="9" width="10.42578125" bestFit="1" customWidth="1"/>
  </cols>
  <sheetData>
    <row r="1" spans="1:9" ht="15.75" thickBot="1" x14ac:dyDescent="0.3">
      <c r="A1" s="4" t="s">
        <v>60</v>
      </c>
      <c r="B1" s="4"/>
      <c r="C1" s="4"/>
      <c r="E1" s="4"/>
      <c r="F1" s="18" t="s">
        <v>61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f>8.2+9.4+8.5</f>
        <v>26.1</v>
      </c>
      <c r="C4" s="13">
        <v>8.1999999999999993</v>
      </c>
      <c r="D4" s="13">
        <v>26.8</v>
      </c>
      <c r="E4" s="25">
        <f>F4-D4</f>
        <v>9.2149999999999999</v>
      </c>
      <c r="F4" s="13">
        <f>34.3*1.05</f>
        <v>36.015000000000001</v>
      </c>
      <c r="G4" s="3">
        <f>D4/B4-1</f>
        <v>2.6819923371647514E-2</v>
      </c>
      <c r="H4" s="3">
        <f>E4/C4-1</f>
        <v>0.12378048780487805</v>
      </c>
      <c r="I4" s="3">
        <f>(D4+E4)/(B4+C4)-1</f>
        <v>5.0000000000000044E-2</v>
      </c>
    </row>
    <row r="5" spans="1:9" x14ac:dyDescent="0.25">
      <c r="A5" t="s">
        <v>66</v>
      </c>
      <c r="B5" s="13">
        <f>3+3.6+3.8</f>
        <v>10.399999999999999</v>
      </c>
      <c r="C5" s="13">
        <v>2.4</v>
      </c>
      <c r="D5" s="13">
        <v>9.8000000000000007</v>
      </c>
      <c r="E5" s="25">
        <f>F5-D5</f>
        <v>2.6251749999999987</v>
      </c>
      <c r="F5" s="13">
        <f>F6*F4</f>
        <v>12.425174999999999</v>
      </c>
      <c r="G5" s="3">
        <f t="shared" ref="G5" si="0">D5/B5-1</f>
        <v>-5.7692307692307487E-2</v>
      </c>
      <c r="H5" s="3">
        <f t="shared" ref="H5" si="1">E5/C5-1</f>
        <v>9.3822916666666201E-2</v>
      </c>
      <c r="I5" s="3">
        <f t="shared" ref="I5" si="2">(D5+E5)/(B5+C5)-1</f>
        <v>-2.928320312499999E-2</v>
      </c>
    </row>
    <row r="6" spans="1:9" x14ac:dyDescent="0.25">
      <c r="A6" t="s">
        <v>67</v>
      </c>
      <c r="B6" s="11">
        <f>B5/B4</f>
        <v>0.39846743295019149</v>
      </c>
      <c r="C6" s="11">
        <f>C5/C4</f>
        <v>0.29268292682926833</v>
      </c>
      <c r="D6" s="11">
        <f t="shared" ref="D6:E6" si="3">D5/D4</f>
        <v>0.36567164179104478</v>
      </c>
      <c r="E6" s="26">
        <f t="shared" si="3"/>
        <v>0.28488062940857284</v>
      </c>
      <c r="F6" s="2">
        <v>0.34499999999999997</v>
      </c>
      <c r="G6" s="3"/>
      <c r="H6" s="3"/>
      <c r="I6" s="3"/>
    </row>
    <row r="7" spans="1:9" x14ac:dyDescent="0.25">
      <c r="E7" s="16"/>
    </row>
  </sheetData>
  <pageMargins left="0.7" right="0.7" top="0.75" bottom="0.75" header="0.3" footer="0.3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8AED0-5D83-4362-A25E-C4520489D390}">
  <sheetPr codeName="Taul33">
    <tabColor rgb="FFFFFF00"/>
    <pageSetUpPr fitToPage="1"/>
  </sheetPr>
  <dimension ref="A1:I6"/>
  <sheetViews>
    <sheetView workbookViewId="0">
      <selection activeCell="G4" sqref="G4"/>
    </sheetView>
  </sheetViews>
  <sheetFormatPr defaultRowHeight="15" x14ac:dyDescent="0.25"/>
  <cols>
    <col min="1" max="1" width="10.140625" bestFit="1" customWidth="1"/>
    <col min="2" max="3" width="10" bestFit="1" customWidth="1"/>
    <col min="4" max="4" width="10" style="1" bestFit="1" customWidth="1"/>
    <col min="5" max="5" width="9.42578125" customWidth="1"/>
    <col min="6" max="6" width="20" bestFit="1" customWidth="1"/>
    <col min="7" max="9" width="10.42578125" bestFit="1" customWidth="1"/>
  </cols>
  <sheetData>
    <row r="1" spans="1:9" ht="15.75" thickBot="1" x14ac:dyDescent="0.3">
      <c r="A1" s="4" t="s">
        <v>127</v>
      </c>
      <c r="B1" s="4"/>
      <c r="C1" s="4"/>
      <c r="E1" s="4"/>
      <c r="F1" s="18" t="s">
        <v>122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s="12" t="s">
        <v>70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f>69787+74604+76693</f>
        <v>221084</v>
      </c>
      <c r="C4" s="13">
        <v>86310</v>
      </c>
      <c r="D4" s="13">
        <v>253549</v>
      </c>
      <c r="E4" s="25">
        <f>F4-D4</f>
        <v>93575</v>
      </c>
      <c r="F4" s="13">
        <v>347124</v>
      </c>
      <c r="G4" s="3">
        <f>D4/B4-1</f>
        <v>0.14684463823705007</v>
      </c>
      <c r="H4" s="3">
        <f>E4/C4-1</f>
        <v>8.4173328698876171E-2</v>
      </c>
      <c r="I4" s="3">
        <f>(D4+E4)/(B4+C4)-1</f>
        <v>0.12924780574767247</v>
      </c>
    </row>
    <row r="5" spans="1:9" x14ac:dyDescent="0.25">
      <c r="A5" t="s">
        <v>80</v>
      </c>
      <c r="B5" s="13">
        <f>17415+21838+21445</f>
        <v>60698</v>
      </c>
      <c r="C5" s="13">
        <v>24900</v>
      </c>
      <c r="D5" s="13">
        <v>81418</v>
      </c>
      <c r="E5" s="25">
        <f>F5-D5</f>
        <v>27231</v>
      </c>
      <c r="F5" s="13">
        <v>108649</v>
      </c>
      <c r="G5" s="3">
        <f t="shared" ref="G5" si="0">D5/B5-1</f>
        <v>0.34136215361296918</v>
      </c>
      <c r="H5" s="3">
        <f t="shared" ref="H5" si="1">E5/C5-1</f>
        <v>9.3614457831325382E-2</v>
      </c>
      <c r="I5" s="3">
        <f t="shared" ref="I5" si="2">(D5+E5)/(B5+C5)-1</f>
        <v>0.26929367508586655</v>
      </c>
    </row>
    <row r="6" spans="1:9" x14ac:dyDescent="0.25">
      <c r="A6" t="s">
        <v>72</v>
      </c>
      <c r="B6" s="11">
        <f>B5/B4</f>
        <v>0.27454723091675565</v>
      </c>
      <c r="C6" s="11">
        <f>C5/C4</f>
        <v>0.28849496002780672</v>
      </c>
      <c r="D6" s="11">
        <f t="shared" ref="D6:F6" si="3">D5/D4</f>
        <v>0.32111347313537031</v>
      </c>
      <c r="E6" s="26">
        <f t="shared" si="3"/>
        <v>0.29100721346513492</v>
      </c>
      <c r="F6" s="2">
        <f t="shared" si="3"/>
        <v>0.31299766077828095</v>
      </c>
      <c r="G6" s="3"/>
      <c r="H6" s="3"/>
      <c r="I6" s="3"/>
    </row>
  </sheetData>
  <pageMargins left="0.7" right="0.7" top="0.75" bottom="0.75" header="0.3" footer="0.3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4B822-ADF9-41F6-8D31-60A87934A9ED}">
  <sheetPr codeName="Taul31">
    <tabColor rgb="FFFFFF00"/>
    <pageSetUpPr fitToPage="1"/>
  </sheetPr>
  <dimension ref="A1:I6"/>
  <sheetViews>
    <sheetView workbookViewId="0">
      <selection activeCell="G4" sqref="G4"/>
    </sheetView>
  </sheetViews>
  <sheetFormatPr defaultRowHeight="15" x14ac:dyDescent="0.25"/>
  <cols>
    <col min="1" max="1" width="8.7109375" bestFit="1" customWidth="1"/>
    <col min="2" max="3" width="10" bestFit="1" customWidth="1"/>
    <col min="4" max="4" width="10" style="1" bestFit="1" customWidth="1"/>
    <col min="5" max="5" width="9.42578125" customWidth="1"/>
    <col min="6" max="6" width="20" bestFit="1" customWidth="1"/>
    <col min="7" max="9" width="10.42578125" bestFit="1" customWidth="1"/>
  </cols>
  <sheetData>
    <row r="1" spans="1:9" ht="15.75" thickBot="1" x14ac:dyDescent="0.3">
      <c r="A1" s="4" t="s">
        <v>128</v>
      </c>
      <c r="B1" s="4"/>
      <c r="C1" s="4"/>
      <c r="E1" s="4"/>
      <c r="F1" s="18" t="s">
        <v>61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s="12" t="s">
        <v>70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f>127358+134383+143083</f>
        <v>404824</v>
      </c>
      <c r="C4" s="13">
        <v>169961</v>
      </c>
      <c r="D4" s="13">
        <v>450127</v>
      </c>
      <c r="E4" s="25">
        <f>F4-D4</f>
        <v>185000</v>
      </c>
      <c r="F4" s="13">
        <f>D4+185000</f>
        <v>635127</v>
      </c>
      <c r="G4" s="3">
        <f>D4/B4-1</f>
        <v>0.11190789083651165</v>
      </c>
      <c r="H4" s="3">
        <f>E4/C4-1</f>
        <v>8.8485005383587945E-2</v>
      </c>
      <c r="I4" s="3">
        <f>(D4+E4)/(B4+C4)-1</f>
        <v>0.10498186278347554</v>
      </c>
    </row>
    <row r="5" spans="1:9" x14ac:dyDescent="0.25">
      <c r="A5" t="s">
        <v>80</v>
      </c>
      <c r="B5" s="13">
        <f>4774+7681+11188</f>
        <v>23643</v>
      </c>
      <c r="C5" s="13">
        <v>13200</v>
      </c>
      <c r="D5" s="13">
        <v>47390</v>
      </c>
      <c r="E5" s="25">
        <f>F5-D5</f>
        <v>18000</v>
      </c>
      <c r="F5" s="13">
        <f>D5+18000</f>
        <v>65390</v>
      </c>
      <c r="G5" s="3">
        <f t="shared" ref="G5" si="0">D5/B5-1</f>
        <v>1.0043987649621453</v>
      </c>
      <c r="H5" s="3">
        <f t="shared" ref="H5" si="1">E5/C5-1</f>
        <v>0.36363636363636354</v>
      </c>
      <c r="I5" s="3">
        <f t="shared" ref="I5" si="2">(D5+E5)/(B5+C5)-1</f>
        <v>0.77482832559780701</v>
      </c>
    </row>
    <row r="6" spans="1:9" x14ac:dyDescent="0.25">
      <c r="A6" t="s">
        <v>72</v>
      </c>
      <c r="B6" s="11">
        <f>B5/B4</f>
        <v>5.8403157915538607E-2</v>
      </c>
      <c r="C6" s="11">
        <f>C5/C4</f>
        <v>7.7664876059801949E-2</v>
      </c>
      <c r="D6" s="11">
        <f t="shared" ref="D6:F6" si="3">D5/D4</f>
        <v>0.10528139836090704</v>
      </c>
      <c r="E6" s="26">
        <f t="shared" si="3"/>
        <v>9.7297297297297303E-2</v>
      </c>
      <c r="F6" s="2">
        <f t="shared" si="3"/>
        <v>0.10295578679539683</v>
      </c>
      <c r="G6" s="3"/>
      <c r="H6" s="3"/>
      <c r="I6" s="3"/>
    </row>
  </sheetData>
  <pageMargins left="0.7" right="0.7" top="0.75" bottom="0.75" header="0.3" footer="0.3"/>
  <pageSetup paperSize="9"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FAD6-B994-4F83-B5BB-30F1D93F4471}">
  <sheetPr codeName="Taul34">
    <tabColor rgb="FFFFFF00"/>
    <pageSetUpPr fitToPage="1"/>
  </sheetPr>
  <dimension ref="A1:I6"/>
  <sheetViews>
    <sheetView workbookViewId="0">
      <selection activeCell="F1" sqref="F1"/>
    </sheetView>
  </sheetViews>
  <sheetFormatPr defaultRowHeight="15" x14ac:dyDescent="0.25"/>
  <cols>
    <col min="1" max="1" width="8.28515625" bestFit="1" customWidth="1"/>
    <col min="2" max="3" width="10" bestFit="1" customWidth="1"/>
    <col min="4" max="4" width="10" style="1" bestFit="1" customWidth="1"/>
    <col min="5" max="5" width="9.42578125" customWidth="1"/>
    <col min="6" max="6" width="20" bestFit="1" customWidth="1"/>
    <col min="7" max="9" width="10.42578125" bestFit="1" customWidth="1"/>
  </cols>
  <sheetData>
    <row r="1" spans="1:9" ht="15.75" thickBot="1" x14ac:dyDescent="0.3">
      <c r="A1" s="4" t="s">
        <v>129</v>
      </c>
      <c r="B1" s="4"/>
      <c r="C1" s="4"/>
      <c r="E1" s="4"/>
      <c r="F1" s="18" t="s">
        <v>124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s="12" t="s">
        <v>70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f>94836+81797+89498</f>
        <v>266131</v>
      </c>
      <c r="C4" s="13">
        <v>119575</v>
      </c>
      <c r="D4" s="13">
        <f>90753+85777+94930</f>
        <v>271460</v>
      </c>
      <c r="E4" s="25">
        <f>F4-D4</f>
        <v>119078</v>
      </c>
      <c r="F4" s="13">
        <v>390538</v>
      </c>
      <c r="G4" s="3">
        <f>D4/B4-1</f>
        <v>2.0023973156077179E-2</v>
      </c>
      <c r="H4" s="3">
        <f>E4/C4-1</f>
        <v>-4.156387204683254E-3</v>
      </c>
      <c r="I4" s="3">
        <f>(D4+E4)/(B4+C4)-1</f>
        <v>1.2527676520458497E-2</v>
      </c>
    </row>
    <row r="5" spans="1:9" x14ac:dyDescent="0.25">
      <c r="A5" t="s">
        <v>80</v>
      </c>
      <c r="B5" s="13">
        <f>28318+22998+26969</f>
        <v>78285</v>
      </c>
      <c r="C5" s="13">
        <v>40373</v>
      </c>
      <c r="D5" s="13">
        <f>27900+25352+29591</f>
        <v>82843</v>
      </c>
      <c r="E5" s="25">
        <f>F5-D5</f>
        <v>39920</v>
      </c>
      <c r="F5" s="13">
        <v>122763</v>
      </c>
      <c r="G5" s="3">
        <f t="shared" ref="G5" si="0">D5/B5-1</f>
        <v>5.8223158970428512E-2</v>
      </c>
      <c r="H5" s="3">
        <f t="shared" ref="H5" si="1">E5/C5-1</f>
        <v>-1.1220370049290329E-2</v>
      </c>
      <c r="I5" s="3">
        <f t="shared" ref="I5" si="2">(D5+E5)/(B5+C5)-1</f>
        <v>3.4595223246641549E-2</v>
      </c>
    </row>
    <row r="6" spans="1:9" x14ac:dyDescent="0.25">
      <c r="A6" t="s">
        <v>72</v>
      </c>
      <c r="B6" s="11">
        <f>B5/B4</f>
        <v>0.29415964318324433</v>
      </c>
      <c r="C6" s="11">
        <f>C5/C4</f>
        <v>0.33763746602550698</v>
      </c>
      <c r="D6" s="11">
        <f t="shared" ref="D6:F6" si="3">D5/D4</f>
        <v>0.30517571649598468</v>
      </c>
      <c r="E6" s="26">
        <f t="shared" si="3"/>
        <v>0.33524244612774817</v>
      </c>
      <c r="F6" s="2">
        <f t="shared" si="3"/>
        <v>0.31434329053766857</v>
      </c>
      <c r="G6" s="3"/>
      <c r="H6" s="3"/>
      <c r="I6" s="3"/>
    </row>
  </sheetData>
  <pageMargins left="0.7" right="0.7" top="0.75" bottom="0.75" header="0.3" footer="0.3"/>
  <pageSetup paperSize="9" scale="9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4279B-9424-4216-A316-76AA5D8C7105}">
  <sheetPr codeName="Taul25">
    <tabColor rgb="FFFFFF00"/>
    <pageSetUpPr fitToPage="1"/>
  </sheetPr>
  <dimension ref="A1:I6"/>
  <sheetViews>
    <sheetView workbookViewId="0">
      <selection activeCell="G4" sqref="G4"/>
    </sheetView>
  </sheetViews>
  <sheetFormatPr defaultRowHeight="15" x14ac:dyDescent="0.25"/>
  <cols>
    <col min="1" max="1" width="11.85546875" bestFit="1" customWidth="1"/>
    <col min="2" max="2" width="9.42578125" bestFit="1" customWidth="1"/>
    <col min="3" max="3" width="8.85546875" bestFit="1" customWidth="1"/>
    <col min="4" max="4" width="9.42578125" style="1" bestFit="1" customWidth="1"/>
    <col min="5" max="5" width="9.42578125" customWidth="1"/>
    <col min="6" max="6" width="20" bestFit="1" customWidth="1"/>
    <col min="7" max="9" width="10.42578125" bestFit="1" customWidth="1"/>
  </cols>
  <sheetData>
    <row r="1" spans="1:9" ht="15.75" thickBot="1" x14ac:dyDescent="0.3">
      <c r="A1" s="4" t="s">
        <v>121</v>
      </c>
      <c r="B1" s="4"/>
      <c r="C1" s="4"/>
      <c r="E1" s="4"/>
      <c r="F1" s="18" t="s">
        <v>122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s="4" t="s">
        <v>70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f>32391+34474+36891</f>
        <v>103756</v>
      </c>
      <c r="C4" s="13">
        <v>36970</v>
      </c>
      <c r="D4" s="13">
        <v>110586</v>
      </c>
      <c r="E4" s="25">
        <f>F4-D4</f>
        <v>38906</v>
      </c>
      <c r="F4" s="13">
        <v>149492</v>
      </c>
      <c r="G4" s="3">
        <f>D4/B4-1</f>
        <v>6.5827518408573926E-2</v>
      </c>
      <c r="H4" s="3">
        <f>E4/C4-1</f>
        <v>5.2366783878820655E-2</v>
      </c>
      <c r="I4" s="3">
        <f>(D4+E4)/(B4+C4)-1</f>
        <v>6.2291261032076495E-2</v>
      </c>
    </row>
    <row r="5" spans="1:9" x14ac:dyDescent="0.25">
      <c r="A5" t="s">
        <v>80</v>
      </c>
      <c r="B5" s="13">
        <f>3957+5478+5413</f>
        <v>14848</v>
      </c>
      <c r="C5" s="13">
        <v>6592</v>
      </c>
      <c r="D5" s="13">
        <v>17767</v>
      </c>
      <c r="E5" s="25">
        <f>F5-D5</f>
        <v>6227</v>
      </c>
      <c r="F5" s="13">
        <v>23994</v>
      </c>
      <c r="G5" s="3">
        <f t="shared" ref="G5" si="0">D5/B5-1</f>
        <v>0.19659213362068972</v>
      </c>
      <c r="H5" s="3">
        <f t="shared" ref="H5" si="1">E5/C5-1</f>
        <v>-5.5370145631068013E-2</v>
      </c>
      <c r="I5" s="3">
        <f t="shared" ref="I5" si="2">(D5+E5)/(B5+C5)-1</f>
        <v>0.1191231343283583</v>
      </c>
    </row>
    <row r="6" spans="1:9" x14ac:dyDescent="0.25">
      <c r="A6" t="s">
        <v>72</v>
      </c>
      <c r="B6" s="11">
        <f>B5/B4</f>
        <v>0.14310497706156752</v>
      </c>
      <c r="C6" s="11">
        <f>C5/C4</f>
        <v>0.17830673519069515</v>
      </c>
      <c r="D6" s="11">
        <f t="shared" ref="D6:F6" si="3">D5/D4</f>
        <v>0.1606622899824571</v>
      </c>
      <c r="E6" s="26">
        <f t="shared" si="3"/>
        <v>0.16005243407186553</v>
      </c>
      <c r="F6" s="2">
        <f t="shared" si="3"/>
        <v>0.16050357209750354</v>
      </c>
      <c r="G6" s="3"/>
      <c r="H6" s="3"/>
      <c r="I6" s="3"/>
    </row>
  </sheetData>
  <pageMargins left="0.7" right="0.7" top="0.75" bottom="0.75" header="0.3" footer="0.3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58572-1288-4CE8-9C4B-CF4B085C957E}">
  <sheetPr codeName="Taul28">
    <tabColor rgb="FFFFFF00"/>
    <pageSetUpPr fitToPage="1"/>
  </sheetPr>
  <dimension ref="A1:I6"/>
  <sheetViews>
    <sheetView workbookViewId="0">
      <selection activeCell="G4" sqref="G4"/>
    </sheetView>
  </sheetViews>
  <sheetFormatPr defaultRowHeight="15" x14ac:dyDescent="0.25"/>
  <cols>
    <col min="1" max="1" width="13.85546875" bestFit="1" customWidth="1"/>
    <col min="2" max="2" width="9.42578125" bestFit="1" customWidth="1"/>
    <col min="3" max="3" width="8.85546875" bestFit="1" customWidth="1"/>
    <col min="4" max="4" width="9.42578125" style="1" bestFit="1" customWidth="1"/>
    <col min="5" max="5" width="9.42578125" customWidth="1"/>
    <col min="6" max="6" width="20" bestFit="1" customWidth="1"/>
    <col min="7" max="9" width="10.42578125" bestFit="1" customWidth="1"/>
  </cols>
  <sheetData>
    <row r="1" spans="1:9" ht="15.75" thickBot="1" x14ac:dyDescent="0.3">
      <c r="A1" s="4" t="s">
        <v>123</v>
      </c>
      <c r="B1" s="4"/>
      <c r="C1" s="4"/>
      <c r="E1" s="4"/>
      <c r="F1" s="18" t="s">
        <v>124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s="12" t="s">
        <v>70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f>39861+43364+44485</f>
        <v>127710</v>
      </c>
      <c r="C4" s="13">
        <v>44954</v>
      </c>
      <c r="D4" s="13">
        <v>130783</v>
      </c>
      <c r="E4" s="25">
        <f>F4-D4</f>
        <v>47265</v>
      </c>
      <c r="F4" s="13">
        <v>178048</v>
      </c>
      <c r="G4" s="3">
        <f>D4/B4-1</f>
        <v>2.4062328713491565E-2</v>
      </c>
      <c r="H4" s="3">
        <f>E4/C4-1</f>
        <v>5.1408106063976611E-2</v>
      </c>
      <c r="I4" s="3">
        <f>(D4+E4)/(B4+C4)-1</f>
        <v>3.118194875596525E-2</v>
      </c>
    </row>
    <row r="5" spans="1:9" x14ac:dyDescent="0.25">
      <c r="A5" t="s">
        <v>80</v>
      </c>
      <c r="B5" s="13">
        <v>28005</v>
      </c>
      <c r="C5" s="13">
        <v>9956</v>
      </c>
      <c r="D5" s="13">
        <v>28148</v>
      </c>
      <c r="E5" s="25">
        <f>F5-D5</f>
        <v>11103</v>
      </c>
      <c r="F5" s="13">
        <v>39251</v>
      </c>
      <c r="G5" s="3">
        <f t="shared" ref="G5" si="0">D5/B5-1</f>
        <v>5.1062310301732694E-3</v>
      </c>
      <c r="H5" s="3">
        <f t="shared" ref="H5" si="1">E5/C5-1</f>
        <v>0.11520691040578535</v>
      </c>
      <c r="I5" s="3">
        <f t="shared" ref="I5" si="2">(D5+E5)/(B5+C5)-1</f>
        <v>3.3982244935591766E-2</v>
      </c>
    </row>
    <row r="6" spans="1:9" x14ac:dyDescent="0.25">
      <c r="A6" t="s">
        <v>72</v>
      </c>
      <c r="B6" s="11">
        <f>B5/B4</f>
        <v>0.21928588207657976</v>
      </c>
      <c r="C6" s="11">
        <f>C5/C4</f>
        <v>0.22147083685545224</v>
      </c>
      <c r="D6" s="11">
        <f t="shared" ref="D6:F6" si="3">D5/D4</f>
        <v>0.21522674965400701</v>
      </c>
      <c r="E6" s="26">
        <f t="shared" si="3"/>
        <v>0.23490955252300857</v>
      </c>
      <c r="F6" s="2">
        <f t="shared" si="3"/>
        <v>0.22045178828181164</v>
      </c>
      <c r="G6" s="3"/>
      <c r="H6" s="3"/>
      <c r="I6" s="3"/>
    </row>
  </sheetData>
  <pageMargins left="0.7" right="0.7" top="0.75" bottom="0.75" header="0.3" footer="0.3"/>
  <pageSetup paperSize="9" scale="9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D7F16-1E48-4755-B673-93100F45624F}">
  <sheetPr codeName="Taul35">
    <tabColor rgb="FFFFFF00"/>
    <pageSetUpPr fitToPage="1"/>
  </sheetPr>
  <dimension ref="A1:I6"/>
  <sheetViews>
    <sheetView workbookViewId="0">
      <selection activeCell="G4" sqref="G4"/>
    </sheetView>
  </sheetViews>
  <sheetFormatPr defaultRowHeight="15" x14ac:dyDescent="0.25"/>
  <cols>
    <col min="1" max="1" width="9.5703125" bestFit="1" customWidth="1"/>
    <col min="2" max="2" width="7.7109375" bestFit="1" customWidth="1"/>
    <col min="3" max="3" width="8.85546875" bestFit="1" customWidth="1"/>
    <col min="4" max="4" width="8.85546875" style="1" bestFit="1" customWidth="1"/>
    <col min="5" max="5" width="9.42578125" customWidth="1"/>
    <col min="6" max="6" width="20.85546875" bestFit="1" customWidth="1"/>
    <col min="7" max="9" width="10.42578125" bestFit="1" customWidth="1"/>
  </cols>
  <sheetData>
    <row r="1" spans="1:9" ht="15.75" thickBot="1" x14ac:dyDescent="0.3">
      <c r="A1" s="4" t="s">
        <v>130</v>
      </c>
      <c r="B1" s="4"/>
      <c r="C1" s="4"/>
      <c r="E1" s="4"/>
      <c r="F1" s="18" t="s">
        <v>122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s="12" t="s">
        <v>70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f>3778+5462</f>
        <v>9240</v>
      </c>
      <c r="C4" s="13">
        <f>7341+4784</f>
        <v>12125</v>
      </c>
      <c r="D4" s="13">
        <v>18268</v>
      </c>
      <c r="E4" s="25">
        <f>F4-D4</f>
        <v>4747</v>
      </c>
      <c r="F4" s="13">
        <v>23015</v>
      </c>
      <c r="G4" s="3">
        <f>D4/B4-1</f>
        <v>0.97705627705627696</v>
      </c>
      <c r="H4" s="3">
        <f>E4/C4-1</f>
        <v>-0.60849484536082477</v>
      </c>
      <c r="I4" s="3">
        <f>(D4+E4)/(B4+C4)-1</f>
        <v>7.7229113035338193E-2</v>
      </c>
    </row>
    <row r="5" spans="1:9" x14ac:dyDescent="0.25">
      <c r="A5" t="s">
        <v>80</v>
      </c>
      <c r="B5" s="13">
        <f>450+1673</f>
        <v>2123</v>
      </c>
      <c r="C5" s="13">
        <f>3103+609</f>
        <v>3712</v>
      </c>
      <c r="D5" s="13">
        <v>5826</v>
      </c>
      <c r="E5" s="25">
        <f>F5-D5</f>
        <v>1484</v>
      </c>
      <c r="F5" s="13">
        <v>7310</v>
      </c>
      <c r="G5" s="3">
        <f t="shared" ref="G5" si="0">D5/B5-1</f>
        <v>1.744229863400848</v>
      </c>
      <c r="H5" s="3">
        <f t="shared" ref="H5" si="1">E5/C5-1</f>
        <v>-0.60021551724137934</v>
      </c>
      <c r="I5" s="3">
        <f t="shared" ref="I5" si="2">(D5+E5)/(B5+C5)-1</f>
        <v>0.25278491859468732</v>
      </c>
    </row>
    <row r="6" spans="1:9" x14ac:dyDescent="0.25">
      <c r="A6" t="s">
        <v>72</v>
      </c>
      <c r="B6" s="11">
        <f>B5/B4</f>
        <v>0.22976190476190475</v>
      </c>
      <c r="C6" s="11">
        <f>C5/C4</f>
        <v>0.30614432989690721</v>
      </c>
      <c r="D6" s="11">
        <f t="shared" ref="D6:F6" si="3">D5/D4</f>
        <v>0.3189183271294066</v>
      </c>
      <c r="E6" s="26">
        <f t="shared" si="3"/>
        <v>0.31261849589214241</v>
      </c>
      <c r="F6" s="2">
        <f t="shared" si="3"/>
        <v>0.31761894416684772</v>
      </c>
      <c r="G6" s="3"/>
      <c r="H6" s="3"/>
      <c r="I6" s="3"/>
    </row>
  </sheetData>
  <pageMargins left="0.7" right="0.7" top="0.75" bottom="0.75" header="0.3" footer="0.3"/>
  <pageSetup paperSize="9" scale="9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75B89-F84F-4188-9488-81D0E68B0411}">
  <sheetPr codeName="Taul22">
    <tabColor rgb="FFFFFF00"/>
    <pageSetUpPr fitToPage="1"/>
  </sheetPr>
  <dimension ref="A1:I6"/>
  <sheetViews>
    <sheetView workbookViewId="0">
      <selection activeCell="F4" sqref="F4"/>
    </sheetView>
  </sheetViews>
  <sheetFormatPr defaultRowHeight="15" x14ac:dyDescent="0.25"/>
  <cols>
    <col min="1" max="1" width="12.85546875" bestFit="1" customWidth="1"/>
    <col min="2" max="2" width="6.85546875" bestFit="1" customWidth="1"/>
    <col min="3" max="3" width="7.28515625" bestFit="1" customWidth="1"/>
    <col min="4" max="4" width="7.140625" style="1" bestFit="1" customWidth="1"/>
    <col min="5" max="5" width="9.42578125" customWidth="1"/>
    <col min="6" max="6" width="20.85546875" bestFit="1" customWidth="1"/>
    <col min="7" max="9" width="10.42578125" bestFit="1" customWidth="1"/>
  </cols>
  <sheetData>
    <row r="1" spans="1:9" ht="15.75" thickBot="1" x14ac:dyDescent="0.3">
      <c r="A1" s="4" t="s">
        <v>68</v>
      </c>
      <c r="B1" s="4"/>
      <c r="C1" s="4"/>
      <c r="E1" s="4"/>
      <c r="F1" s="17" t="s">
        <v>145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70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f>15.1+16.5+13.7</f>
        <v>45.3</v>
      </c>
      <c r="C4" s="13">
        <f>59.4-B4</f>
        <v>14.100000000000001</v>
      </c>
      <c r="D4" s="13">
        <v>43.7</v>
      </c>
      <c r="E4" s="25">
        <f>F4-D4</f>
        <v>18</v>
      </c>
      <c r="F4" s="13">
        <f>D4+18</f>
        <v>61.7</v>
      </c>
      <c r="G4" s="3">
        <f>D4/B4-1</f>
        <v>-3.5320088300220598E-2</v>
      </c>
      <c r="H4" s="3">
        <f>E4/C4-1</f>
        <v>0.27659574468085091</v>
      </c>
      <c r="I4" s="3">
        <f>(D4+E4)/(B4+C4)-1</f>
        <v>3.8720538720538711E-2</v>
      </c>
    </row>
    <row r="5" spans="1:9" x14ac:dyDescent="0.25">
      <c r="A5" t="s">
        <v>80</v>
      </c>
      <c r="B5" s="13">
        <f>0.5+4.2+4.8</f>
        <v>9.5</v>
      </c>
      <c r="C5" s="13">
        <f>4.7-B5</f>
        <v>-4.8</v>
      </c>
      <c r="D5" s="13">
        <v>11.1</v>
      </c>
      <c r="E5" s="25">
        <f>F5-D5</f>
        <v>9.1</v>
      </c>
      <c r="F5" s="13">
        <f>D5+9.1</f>
        <v>20.2</v>
      </c>
      <c r="G5" s="3">
        <f t="shared" ref="G5" si="0">D5/B5-1</f>
        <v>0.1684210526315788</v>
      </c>
      <c r="H5" s="3">
        <f t="shared" ref="H5" si="1">E5/C5-1</f>
        <v>-2.895833333333333</v>
      </c>
      <c r="I5" s="3">
        <f t="shared" ref="I5" si="2">(D5+E5)/(B5+C5)-1</f>
        <v>3.2978723404255312</v>
      </c>
    </row>
    <row r="6" spans="1:9" x14ac:dyDescent="0.25">
      <c r="A6" t="s">
        <v>72</v>
      </c>
      <c r="B6" s="11">
        <f>B5/B4</f>
        <v>0.20971302428256072</v>
      </c>
      <c r="C6" s="11">
        <f>C5/C4</f>
        <v>-0.34042553191489355</v>
      </c>
      <c r="D6" s="11">
        <f t="shared" ref="D6:F6" si="3">D5/D4</f>
        <v>0.25400457665903886</v>
      </c>
      <c r="E6" s="26">
        <f t="shared" si="3"/>
        <v>0.50555555555555554</v>
      </c>
      <c r="F6" s="2">
        <f t="shared" si="3"/>
        <v>0.32739059967585088</v>
      </c>
      <c r="G6" s="3"/>
      <c r="H6" s="3"/>
      <c r="I6" s="3"/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1C0A6-DEAF-4319-938D-26C3E2197BF4}">
  <sheetPr codeName="Taul38">
    <tabColor rgb="FFFFFF00"/>
    <pageSetUpPr fitToPage="1"/>
  </sheetPr>
  <dimension ref="A1:I7"/>
  <sheetViews>
    <sheetView workbookViewId="0">
      <selection activeCell="G4" sqref="G4"/>
    </sheetView>
  </sheetViews>
  <sheetFormatPr defaultRowHeight="15" x14ac:dyDescent="0.25"/>
  <cols>
    <col min="1" max="1" width="8.28515625" bestFit="1" customWidth="1"/>
    <col min="2" max="2" width="6.85546875" bestFit="1" customWidth="1"/>
    <col min="3" max="3" width="6.28515625" bestFit="1" customWidth="1"/>
    <col min="4" max="4" width="7.140625" style="1" bestFit="1" customWidth="1"/>
    <col min="5" max="5" width="9.42578125" customWidth="1"/>
    <col min="6" max="6" width="20.85546875" bestFit="1" customWidth="1"/>
    <col min="7" max="7" width="18.28515625" bestFit="1" customWidth="1"/>
    <col min="8" max="8" width="10.42578125" bestFit="1" customWidth="1"/>
    <col min="9" max="9" width="17.7109375" bestFit="1" customWidth="1"/>
  </cols>
  <sheetData>
    <row r="1" spans="1:9" ht="15.75" thickBot="1" x14ac:dyDescent="0.3">
      <c r="A1" s="4" t="s">
        <v>73</v>
      </c>
      <c r="B1" s="4"/>
      <c r="C1" s="4"/>
      <c r="E1" s="4"/>
      <c r="F1" s="18" t="s">
        <v>74</v>
      </c>
      <c r="G1" s="48" t="s">
        <v>75</v>
      </c>
      <c r="H1" s="48">
        <v>0.1</v>
      </c>
      <c r="I1" s="48" t="s">
        <v>76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v>138.9</v>
      </c>
      <c r="C4" s="13">
        <v>53.2</v>
      </c>
      <c r="D4" s="13">
        <v>151.1</v>
      </c>
      <c r="E4" s="25">
        <f>F4-D4</f>
        <v>60.210000000000008</v>
      </c>
      <c r="F4" s="13">
        <f>1.1*192.1</f>
        <v>211.31</v>
      </c>
      <c r="G4" s="3">
        <f>D4/B4-1</f>
        <v>8.7832973362131028E-2</v>
      </c>
      <c r="H4" s="3">
        <f>E4/C4-1</f>
        <v>0.1317669172932332</v>
      </c>
      <c r="I4" s="3">
        <f>(D4+E4)/(B4+C4)-1</f>
        <v>9.9999999999999867E-2</v>
      </c>
    </row>
    <row r="5" spans="1:9" x14ac:dyDescent="0.25">
      <c r="A5" t="s">
        <v>77</v>
      </c>
      <c r="B5" s="13">
        <v>11.7</v>
      </c>
      <c r="C5" s="13">
        <v>5.0999999999999996</v>
      </c>
      <c r="D5" s="39">
        <v>15.3</v>
      </c>
      <c r="E5" s="40">
        <f>F5-D5</f>
        <v>3.1800000000000033</v>
      </c>
      <c r="F5" s="39">
        <f>16.8*1.1</f>
        <v>18.480000000000004</v>
      </c>
      <c r="G5" s="3">
        <f t="shared" ref="G5" si="0">D5/B5-1</f>
        <v>0.30769230769230793</v>
      </c>
      <c r="H5" s="3">
        <f t="shared" ref="H5" si="1">E5/C5-1</f>
        <v>-0.37647058823529345</v>
      </c>
      <c r="I5" s="3">
        <f t="shared" ref="I5" si="2">(D5+E5)/(B5+C5)-1</f>
        <v>0.10000000000000053</v>
      </c>
    </row>
    <row r="6" spans="1:9" x14ac:dyDescent="0.25">
      <c r="A6" t="s">
        <v>78</v>
      </c>
      <c r="B6" s="11">
        <f>B5/B4</f>
        <v>8.4233261339092869E-2</v>
      </c>
      <c r="C6" s="11">
        <f>C5/C4</f>
        <v>9.5864661654135333E-2</v>
      </c>
      <c r="D6" s="41">
        <f t="shared" ref="D6:E6" si="3">D5/D4</f>
        <v>0.10125744540039709</v>
      </c>
      <c r="E6" s="42">
        <f t="shared" si="3"/>
        <v>5.2815146985550621E-2</v>
      </c>
      <c r="F6" s="43">
        <f>F5/F4</f>
        <v>8.7454450806871434E-2</v>
      </c>
      <c r="G6" s="3"/>
      <c r="H6" s="3"/>
      <c r="I6" s="3"/>
    </row>
    <row r="7" spans="1:9" x14ac:dyDescent="0.25">
      <c r="E7" s="16"/>
    </row>
  </sheetData>
  <pageMargins left="0.7" right="0.7" top="0.75" bottom="0.75" header="0.3" footer="0.3"/>
  <pageSetup paperSize="9" scale="9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958A4-B986-4CC1-95C1-C7E70F7E3E5F}">
  <sheetPr codeName="Taul26">
    <tabColor rgb="FFFFFF00"/>
    <pageSetUpPr fitToPage="1"/>
  </sheetPr>
  <dimension ref="A1:I6"/>
  <sheetViews>
    <sheetView workbookViewId="0">
      <selection activeCell="G4" sqref="G4"/>
    </sheetView>
  </sheetViews>
  <sheetFormatPr defaultRowHeight="15" x14ac:dyDescent="0.25"/>
  <cols>
    <col min="1" max="1" width="8.28515625" bestFit="1" customWidth="1"/>
    <col min="2" max="3" width="8.85546875" bestFit="1" customWidth="1"/>
    <col min="4" max="4" width="8.85546875" style="1" bestFit="1" customWidth="1"/>
    <col min="5" max="5" width="9.42578125" customWidth="1"/>
    <col min="6" max="6" width="20" bestFit="1" customWidth="1"/>
    <col min="7" max="9" width="10.42578125" bestFit="1" customWidth="1"/>
  </cols>
  <sheetData>
    <row r="1" spans="1:9" ht="15.75" thickBot="1" x14ac:dyDescent="0.3">
      <c r="A1" s="4" t="s">
        <v>125</v>
      </c>
      <c r="B1" s="4"/>
      <c r="C1" s="4"/>
      <c r="E1" s="4"/>
      <c r="F1" s="18" t="s">
        <v>124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s="12" t="s">
        <v>70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f>13868+15910+14997</f>
        <v>44775</v>
      </c>
      <c r="C4" s="13">
        <v>15568</v>
      </c>
      <c r="D4" s="13">
        <v>46353</v>
      </c>
      <c r="E4" s="25">
        <f>F4-D4</f>
        <v>16826</v>
      </c>
      <c r="F4" s="13">
        <v>63179</v>
      </c>
      <c r="G4" s="3">
        <f>D4/B4-1</f>
        <v>3.5242881072026888E-2</v>
      </c>
      <c r="H4" s="3">
        <f>E4/C4-1</f>
        <v>8.0806783144912631E-2</v>
      </c>
      <c r="I4" s="3">
        <f>(D4+E4)/(B4+C4)-1</f>
        <v>4.6997994796413867E-2</v>
      </c>
    </row>
    <row r="5" spans="1:9" x14ac:dyDescent="0.25">
      <c r="A5" t="s">
        <v>80</v>
      </c>
      <c r="B5" s="13">
        <f>3187+3429+3272</f>
        <v>9888</v>
      </c>
      <c r="C5" s="13">
        <v>3229</v>
      </c>
      <c r="D5" s="13">
        <v>8958</v>
      </c>
      <c r="E5" s="25">
        <f>F5-D5</f>
        <v>3754</v>
      </c>
      <c r="F5" s="13">
        <v>12712</v>
      </c>
      <c r="G5" s="3">
        <f t="shared" ref="G5" si="0">D5/B5-1</f>
        <v>-9.4053398058252413E-2</v>
      </c>
      <c r="H5" s="3">
        <f t="shared" ref="H5" si="1">E5/C5-1</f>
        <v>0.162589036853515</v>
      </c>
      <c r="I5" s="3">
        <f t="shared" ref="I5" si="2">(D5+E5)/(B5+C5)-1</f>
        <v>-3.0875962491423325E-2</v>
      </c>
    </row>
    <row r="6" spans="1:9" x14ac:dyDescent="0.25">
      <c r="A6" t="s">
        <v>72</v>
      </c>
      <c r="B6" s="11">
        <f>B5/B4</f>
        <v>0.22083752093802345</v>
      </c>
      <c r="C6" s="11">
        <f>C5/C4</f>
        <v>0.20741264131551901</v>
      </c>
      <c r="D6" s="11">
        <f t="shared" ref="D6:F6" si="3">D5/D4</f>
        <v>0.19325609992880718</v>
      </c>
      <c r="E6" s="26">
        <f t="shared" si="3"/>
        <v>0.22310709616070368</v>
      </c>
      <c r="F6" s="2">
        <f t="shared" si="3"/>
        <v>0.20120609696259834</v>
      </c>
      <c r="G6" s="3"/>
      <c r="H6" s="3"/>
      <c r="I6" s="3"/>
    </row>
  </sheetData>
  <pageMargins left="0.7" right="0.7" top="0.75" bottom="0.75" header="0.3" footer="0.3"/>
  <pageSetup paperSize="9" scale="9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A3670-734B-41A6-B49D-3CFE4FB5EAD3}">
  <sheetPr codeName="Taul5">
    <tabColor rgb="FFFFFF00"/>
    <pageSetUpPr fitToPage="1"/>
  </sheetPr>
  <dimension ref="A1:I6"/>
  <sheetViews>
    <sheetView workbookViewId="0">
      <selection activeCell="G4" sqref="G4"/>
    </sheetView>
  </sheetViews>
  <sheetFormatPr defaultRowHeight="15" x14ac:dyDescent="0.25"/>
  <cols>
    <col min="1" max="1" width="10" bestFit="1" customWidth="1"/>
    <col min="2" max="3" width="6.28515625" bestFit="1" customWidth="1"/>
    <col min="4" max="4" width="7.140625" style="1" bestFit="1" customWidth="1"/>
    <col min="5" max="5" width="9.42578125" customWidth="1"/>
    <col min="6" max="6" width="20.85546875" bestFit="1" customWidth="1"/>
    <col min="7" max="9" width="10.42578125" bestFit="1" customWidth="1"/>
  </cols>
  <sheetData>
    <row r="1" spans="1:9" ht="15.75" thickBot="1" x14ac:dyDescent="0.3">
      <c r="A1" s="4" t="s">
        <v>79</v>
      </c>
      <c r="B1" s="4"/>
      <c r="C1" s="4"/>
      <c r="E1" s="4"/>
      <c r="F1" s="18" t="s">
        <v>61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4">
        <f>95+89.9+80</f>
        <v>264.89999999999998</v>
      </c>
      <c r="C4" s="14">
        <f>360-B4</f>
        <v>95.100000000000023</v>
      </c>
      <c r="D4" s="13">
        <v>269.7</v>
      </c>
      <c r="E4" s="25">
        <f>F4-D4</f>
        <v>92.800000000000011</v>
      </c>
      <c r="F4" s="13">
        <v>362.5</v>
      </c>
      <c r="G4" s="3">
        <f>D4/B4-1</f>
        <v>1.8120045300113352E-2</v>
      </c>
      <c r="H4" s="3">
        <f>E4/C4-1</f>
        <v>-2.4185068349106276E-2</v>
      </c>
      <c r="I4" s="3">
        <f>(D4+E4)/(B4+C4)-1</f>
        <v>6.9444444444444198E-3</v>
      </c>
    </row>
    <row r="5" spans="1:9" x14ac:dyDescent="0.25">
      <c r="A5" t="s">
        <v>80</v>
      </c>
      <c r="B5" s="14">
        <f>6.3+6.1+5</f>
        <v>17.399999999999999</v>
      </c>
      <c r="C5" s="14">
        <f>25.5-B5</f>
        <v>8.1000000000000014</v>
      </c>
      <c r="D5" s="13">
        <v>13.5</v>
      </c>
      <c r="E5" s="25">
        <f>F5-D5</f>
        <v>6.5</v>
      </c>
      <c r="F5" s="13">
        <v>20</v>
      </c>
      <c r="G5" s="3">
        <f t="shared" ref="G5" si="0">D5/B5-1</f>
        <v>-0.22413793103448265</v>
      </c>
      <c r="H5" s="3">
        <f t="shared" ref="H5" si="1">E5/C5-1</f>
        <v>-0.19753086419753096</v>
      </c>
      <c r="I5" s="3">
        <f t="shared" ref="I5" si="2">(D5+E5)/(B5+C5)-1</f>
        <v>-0.21568627450980393</v>
      </c>
    </row>
    <row r="6" spans="1:9" x14ac:dyDescent="0.25">
      <c r="A6" t="s">
        <v>72</v>
      </c>
      <c r="B6" s="2">
        <f>B5/B4</f>
        <v>6.5685164212910527E-2</v>
      </c>
      <c r="C6" s="2">
        <f>C5/C4</f>
        <v>8.5173501577287064E-2</v>
      </c>
      <c r="D6" s="2">
        <f t="shared" ref="D6:F6" si="3">D5/D4</f>
        <v>5.0055617352614018E-2</v>
      </c>
      <c r="E6" s="26">
        <f t="shared" si="3"/>
        <v>7.0043103448275856E-2</v>
      </c>
      <c r="F6" s="2">
        <f t="shared" si="3"/>
        <v>5.5172413793103448E-2</v>
      </c>
      <c r="G6" s="3"/>
      <c r="H6" s="3"/>
      <c r="I6" s="3"/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A7BFF-2FED-40F6-B0E5-172DB69B25D4}">
  <sheetPr codeName="Taul18">
    <tabColor rgb="FFFFFF00"/>
    <pageSetUpPr fitToPage="1"/>
  </sheetPr>
  <dimension ref="A1:I7"/>
  <sheetViews>
    <sheetView workbookViewId="0">
      <selection activeCell="G4" sqref="G4"/>
    </sheetView>
  </sheetViews>
  <sheetFormatPr defaultRowHeight="15" x14ac:dyDescent="0.25"/>
  <cols>
    <col min="1" max="1" width="12.85546875" bestFit="1" customWidth="1"/>
    <col min="2" max="2" width="6.85546875" bestFit="1" customWidth="1"/>
    <col min="3" max="3" width="6.28515625" bestFit="1" customWidth="1"/>
    <col min="4" max="4" width="7.140625" style="1" bestFit="1" customWidth="1"/>
    <col min="5" max="5" width="9.42578125" customWidth="1"/>
    <col min="6" max="6" width="20.85546875" bestFit="1" customWidth="1"/>
    <col min="7" max="9" width="10.42578125" bestFit="1" customWidth="1"/>
  </cols>
  <sheetData>
    <row r="1" spans="1:9" ht="15.75" thickBot="1" x14ac:dyDescent="0.3">
      <c r="A1" s="4" t="s">
        <v>81</v>
      </c>
      <c r="B1" s="4"/>
      <c r="C1" s="4"/>
      <c r="E1" s="4"/>
      <c r="F1" s="17" t="s">
        <v>69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f>275+268+241</f>
        <v>784</v>
      </c>
      <c r="C4" s="13">
        <v>346</v>
      </c>
      <c r="D4" s="13">
        <v>819.9</v>
      </c>
      <c r="E4" s="25">
        <f>F4-D4</f>
        <v>389.20000000000016</v>
      </c>
      <c r="F4" s="13">
        <f>1130*1.07</f>
        <v>1209.1000000000001</v>
      </c>
      <c r="G4" s="3">
        <f>D4/B4-1</f>
        <v>4.5790816326530592E-2</v>
      </c>
      <c r="H4" s="3">
        <f>E4/C4-1</f>
        <v>0.12485549132948015</v>
      </c>
      <c r="I4" s="3">
        <f>(D4+E4)/(B4+C4)-1</f>
        <v>7.0000000000000062E-2</v>
      </c>
    </row>
    <row r="5" spans="1:9" x14ac:dyDescent="0.25">
      <c r="A5" t="s">
        <v>71</v>
      </c>
      <c r="B5" s="13">
        <f>28.9+22.3+13.7</f>
        <v>64.900000000000006</v>
      </c>
      <c r="C5" s="13">
        <v>34</v>
      </c>
      <c r="D5" s="13">
        <v>68.5</v>
      </c>
      <c r="E5" s="25">
        <f>F5-D5</f>
        <v>47.314999999999998</v>
      </c>
      <c r="F5" s="13">
        <f>110.3*1.05</f>
        <v>115.815</v>
      </c>
      <c r="G5" s="3">
        <f t="shared" ref="G5" si="0">D5/B5-1</f>
        <v>5.5469953775038494E-2</v>
      </c>
      <c r="H5" s="3">
        <f t="shared" ref="H5" si="1">E5/C5-1</f>
        <v>0.39161764705882351</v>
      </c>
      <c r="I5" s="3">
        <f t="shared" ref="I5" si="2">(D5+E5)/(B5+C5)-1</f>
        <v>0.17103134479271986</v>
      </c>
    </row>
    <row r="6" spans="1:9" x14ac:dyDescent="0.25">
      <c r="A6" t="s">
        <v>82</v>
      </c>
      <c r="B6" s="11">
        <f>B5/B4</f>
        <v>8.2780612244897966E-2</v>
      </c>
      <c r="C6" s="11">
        <f>C5/C4</f>
        <v>9.8265895953757232E-2</v>
      </c>
      <c r="D6" s="11">
        <f t="shared" ref="D6:E6" si="3">D5/D4</f>
        <v>8.3546773996828888E-2</v>
      </c>
      <c r="E6" s="26">
        <f t="shared" si="3"/>
        <v>0.12156988694758473</v>
      </c>
      <c r="F6" s="2">
        <f>F5/F4</f>
        <v>9.578612190885781E-2</v>
      </c>
      <c r="G6" s="3"/>
      <c r="H6" s="3"/>
      <c r="I6" s="3"/>
    </row>
    <row r="7" spans="1:9" x14ac:dyDescent="0.25">
      <c r="E7" s="16"/>
    </row>
  </sheetData>
  <pageMargins left="0.7" right="0.7" top="0.75" bottom="0.75" header="0.3" footer="0.3"/>
  <pageSetup paperSize="9" scale="9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F1770-5C14-407C-8B40-F43FD6723E2B}">
  <sheetPr codeName="Taul23">
    <tabColor rgb="FFFFFF00"/>
    <pageSetUpPr fitToPage="1"/>
  </sheetPr>
  <dimension ref="A1:I6"/>
  <sheetViews>
    <sheetView workbookViewId="0">
      <selection activeCell="F5" sqref="F5"/>
    </sheetView>
  </sheetViews>
  <sheetFormatPr defaultRowHeight="15" x14ac:dyDescent="0.25"/>
  <cols>
    <col min="1" max="1" width="12.85546875" bestFit="1" customWidth="1"/>
    <col min="2" max="3" width="6.28515625" bestFit="1" customWidth="1"/>
    <col min="4" max="4" width="7.140625" style="1" bestFit="1" customWidth="1"/>
    <col min="5" max="5" width="9.42578125" customWidth="1"/>
    <col min="6" max="6" width="18.28515625" bestFit="1" customWidth="1"/>
    <col min="7" max="9" width="10.42578125" bestFit="1" customWidth="1"/>
  </cols>
  <sheetData>
    <row r="1" spans="1:9" ht="15.75" thickBot="1" x14ac:dyDescent="0.3">
      <c r="A1" s="4" t="s">
        <v>83</v>
      </c>
      <c r="B1" s="4"/>
      <c r="C1" s="4"/>
      <c r="E1" s="4"/>
      <c r="F1" s="18" t="s">
        <v>61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f>223.1+255+282.4</f>
        <v>760.5</v>
      </c>
      <c r="C4" s="13">
        <v>241.6</v>
      </c>
      <c r="D4" s="13">
        <v>773.5</v>
      </c>
      <c r="E4" s="25">
        <f>F4-D4</f>
        <v>248.53999999999996</v>
      </c>
      <c r="F4" s="13">
        <f>1.02*1002</f>
        <v>1022.04</v>
      </c>
      <c r="G4" s="3">
        <f>D4/B4-1</f>
        <v>1.7094017094017033E-2</v>
      </c>
      <c r="H4" s="3">
        <f>E4/C4-1</f>
        <v>2.8725165562913713E-2</v>
      </c>
      <c r="I4" s="3">
        <f>(D4+E4)/(B4+C4)-1</f>
        <v>1.9898213751122551E-2</v>
      </c>
    </row>
    <row r="5" spans="1:9" x14ac:dyDescent="0.25">
      <c r="A5" t="s">
        <v>71</v>
      </c>
      <c r="B5" s="13">
        <v>12.5</v>
      </c>
      <c r="C5" s="13">
        <v>5.5</v>
      </c>
      <c r="D5" s="13">
        <v>10.9</v>
      </c>
      <c r="E5" s="25">
        <f>F5-D5</f>
        <v>1.0999999999999996</v>
      </c>
      <c r="F5" s="13">
        <v>12</v>
      </c>
      <c r="G5" s="3">
        <f t="shared" ref="G5" si="0">D5/B5-1</f>
        <v>-0.128</v>
      </c>
      <c r="H5" s="3">
        <f t="shared" ref="H5" si="1">E5/C5-1</f>
        <v>-0.8</v>
      </c>
      <c r="I5" s="3">
        <f t="shared" ref="I5" si="2">(D5+E5)/(B5+C5)-1</f>
        <v>-0.33333333333333337</v>
      </c>
    </row>
    <row r="6" spans="1:9" x14ac:dyDescent="0.25">
      <c r="A6" t="s">
        <v>72</v>
      </c>
      <c r="B6" s="11">
        <f>B5/B4</f>
        <v>1.6436554898093359E-2</v>
      </c>
      <c r="C6" s="11">
        <f>C5/C4</f>
        <v>2.2764900662251657E-2</v>
      </c>
      <c r="D6" s="11">
        <f t="shared" ref="D6:F6" si="3">D5/D4</f>
        <v>1.4091790562378798E-2</v>
      </c>
      <c r="E6" s="26">
        <f t="shared" si="3"/>
        <v>4.4258469461656066E-3</v>
      </c>
      <c r="F6" s="2">
        <f t="shared" si="3"/>
        <v>1.1741223435481977E-2</v>
      </c>
      <c r="G6" s="3"/>
      <c r="H6" s="3"/>
      <c r="I6" s="3"/>
    </row>
  </sheetData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98E9B-02C9-41D0-9A3A-3400A7CD591F}">
  <sheetPr codeName="Taul19">
    <tabColor rgb="FFFFFF00"/>
    <pageSetUpPr fitToPage="1"/>
  </sheetPr>
  <dimension ref="A1:I7"/>
  <sheetViews>
    <sheetView workbookViewId="0">
      <selection activeCell="G4" sqref="G4"/>
    </sheetView>
  </sheetViews>
  <sheetFormatPr defaultRowHeight="15" x14ac:dyDescent="0.25"/>
  <cols>
    <col min="1" max="1" width="15.42578125" bestFit="1" customWidth="1"/>
    <col min="2" max="3" width="7.7109375" bestFit="1" customWidth="1"/>
    <col min="4" max="4" width="7.7109375" style="1" bestFit="1" customWidth="1"/>
    <col min="5" max="5" width="9.42578125" customWidth="1"/>
    <col min="6" max="6" width="18.28515625" bestFit="1" customWidth="1"/>
    <col min="7" max="9" width="10.42578125" bestFit="1" customWidth="1"/>
  </cols>
  <sheetData>
    <row r="1" spans="1:9" ht="15.75" thickBot="1" x14ac:dyDescent="0.3">
      <c r="A1" s="4" t="s">
        <v>84</v>
      </c>
      <c r="B1" s="4"/>
      <c r="C1" s="4"/>
      <c r="E1" s="4"/>
      <c r="F1" s="18" t="s">
        <v>85</v>
      </c>
    </row>
    <row r="2" spans="1:9" x14ac:dyDescent="0.25">
      <c r="B2">
        <v>2023</v>
      </c>
      <c r="C2">
        <v>2023</v>
      </c>
      <c r="D2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f>906+840+829</f>
        <v>2575</v>
      </c>
      <c r="C4" s="13">
        <f>3384-B4</f>
        <v>809</v>
      </c>
      <c r="D4" s="13">
        <v>2224</v>
      </c>
      <c r="E4" s="25">
        <f>F4-D4</f>
        <v>776</v>
      </c>
      <c r="F4" s="13">
        <v>3000</v>
      </c>
      <c r="G4" s="3">
        <f>D4/B4-1</f>
        <v>-0.13631067961165044</v>
      </c>
      <c r="H4" s="3">
        <f>E4/C4-1</f>
        <v>-4.0791100123609425E-2</v>
      </c>
      <c r="I4" s="3">
        <f>(D4+E4)/(B4+C4)-1</f>
        <v>-0.11347517730496459</v>
      </c>
    </row>
    <row r="5" spans="1:9" x14ac:dyDescent="0.25">
      <c r="A5" t="s">
        <v>86</v>
      </c>
      <c r="B5" s="13">
        <v>504</v>
      </c>
      <c r="C5" s="13">
        <f>667-B5</f>
        <v>163</v>
      </c>
      <c r="D5" s="13">
        <v>450.4</v>
      </c>
      <c r="E5" s="25">
        <f>F5-D5</f>
        <v>139.60000000000002</v>
      </c>
      <c r="F5" s="13">
        <v>590</v>
      </c>
      <c r="G5" s="3">
        <f t="shared" ref="G5" si="0">D5/B5-1</f>
        <v>-0.10634920634920642</v>
      </c>
      <c r="H5" s="3">
        <f t="shared" ref="H5" si="1">E5/C5-1</f>
        <v>-0.14355828220858879</v>
      </c>
      <c r="I5" s="3">
        <f t="shared" ref="I5" si="2">(D5+E5)/(B5+C5)-1</f>
        <v>-0.11544227886056968</v>
      </c>
    </row>
    <row r="6" spans="1:9" x14ac:dyDescent="0.25">
      <c r="A6" t="s">
        <v>67</v>
      </c>
      <c r="B6" s="11">
        <f>B5/B4</f>
        <v>0.19572815533980584</v>
      </c>
      <c r="C6" s="11">
        <f>C5/C4</f>
        <v>0.20148331273176762</v>
      </c>
      <c r="D6" s="11">
        <f t="shared" ref="D6:F6" si="3">D5/D4</f>
        <v>0.20251798561151077</v>
      </c>
      <c r="E6" s="26">
        <f t="shared" si="3"/>
        <v>0.17989690721649487</v>
      </c>
      <c r="F6" s="26">
        <f t="shared" si="3"/>
        <v>0.19666666666666666</v>
      </c>
      <c r="G6" s="3"/>
      <c r="H6" s="3"/>
      <c r="I6" s="3"/>
    </row>
    <row r="7" spans="1:9" x14ac:dyDescent="0.25">
      <c r="E7" s="16"/>
    </row>
  </sheetData>
  <pageMargins left="0.7" right="0.7" top="0.75" bottom="0.75" header="0.3" footer="0.3"/>
  <pageSetup paperSize="9" scale="9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88B27-8F1B-4096-ACE8-9EEDD1ED7D32}">
  <sheetPr codeName="Taul24">
    <tabColor rgb="FFFFFF00"/>
    <pageSetUpPr fitToPage="1"/>
  </sheetPr>
  <dimension ref="A1:I14"/>
  <sheetViews>
    <sheetView workbookViewId="0"/>
  </sheetViews>
  <sheetFormatPr defaultRowHeight="15" x14ac:dyDescent="0.25"/>
  <cols>
    <col min="1" max="1" width="11.7109375" bestFit="1" customWidth="1"/>
    <col min="2" max="3" width="6.85546875" bestFit="1" customWidth="1"/>
    <col min="4" max="4" width="10.5703125" style="1" bestFit="1" customWidth="1"/>
    <col min="5" max="5" width="9.42578125" customWidth="1"/>
    <col min="6" max="6" width="20.85546875" bestFit="1" customWidth="1"/>
    <col min="7" max="9" width="10.42578125" bestFit="1" customWidth="1"/>
  </cols>
  <sheetData>
    <row r="1" spans="1:9" ht="15.75" thickBot="1" x14ac:dyDescent="0.3">
      <c r="A1" s="4" t="s">
        <v>87</v>
      </c>
      <c r="B1" s="4"/>
      <c r="C1" s="4"/>
      <c r="E1" s="4"/>
      <c r="F1" s="17" t="s">
        <v>69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4">
        <f>283.6-155.4+155/2</f>
        <v>205.70000000000002</v>
      </c>
      <c r="C4" s="14">
        <f>155/2</f>
        <v>77.5</v>
      </c>
      <c r="D4" s="13">
        <v>152</v>
      </c>
      <c r="E4" s="25">
        <f>F4-D4</f>
        <v>73</v>
      </c>
      <c r="F4" s="13">
        <v>225</v>
      </c>
      <c r="G4" s="3">
        <f>D4/B4-1</f>
        <v>-0.26105979581915417</v>
      </c>
      <c r="H4" s="3">
        <f>E4/C4-1</f>
        <v>-5.8064516129032295E-2</v>
      </c>
      <c r="I4" s="3">
        <f>(D4+E4)/(B4+C4)-1</f>
        <v>-0.2055084745762713</v>
      </c>
    </row>
    <row r="5" spans="1:9" x14ac:dyDescent="0.25">
      <c r="A5" t="s">
        <v>80</v>
      </c>
      <c r="B5" s="14">
        <f>40.7-19.9+19.9/2</f>
        <v>30.750000000000004</v>
      </c>
      <c r="C5" s="14">
        <v>10</v>
      </c>
      <c r="D5" s="13">
        <v>-29.5</v>
      </c>
      <c r="E5" s="25">
        <f>F5-D5</f>
        <v>0</v>
      </c>
      <c r="F5" s="13">
        <f>D5</f>
        <v>-29.5</v>
      </c>
      <c r="G5" s="3">
        <f t="shared" ref="G5" si="0">D5/B5-1</f>
        <v>-1.9593495934959348</v>
      </c>
      <c r="H5" s="3">
        <f t="shared" ref="H5" si="1">E5/C5-1</f>
        <v>-1</v>
      </c>
      <c r="I5" s="3">
        <f t="shared" ref="I5" si="2">(D5+E5)/(B5+C5)-1</f>
        <v>-1.7239263803680982</v>
      </c>
    </row>
    <row r="6" spans="1:9" x14ac:dyDescent="0.25">
      <c r="A6" t="s">
        <v>72</v>
      </c>
      <c r="B6" s="2">
        <f>B5/B4</f>
        <v>0.1494895478852698</v>
      </c>
      <c r="C6" s="2">
        <f>C5/C4</f>
        <v>0.12903225806451613</v>
      </c>
      <c r="D6" s="2">
        <f t="shared" ref="D6:F6" si="3">D5/D4</f>
        <v>-0.19407894736842105</v>
      </c>
      <c r="E6" s="26">
        <f t="shared" si="3"/>
        <v>0</v>
      </c>
      <c r="F6" s="2">
        <f t="shared" si="3"/>
        <v>-0.13111111111111112</v>
      </c>
      <c r="G6" s="3"/>
      <c r="H6" s="3"/>
      <c r="I6" s="3"/>
    </row>
    <row r="7" spans="1:9" hidden="1" x14ac:dyDescent="0.25">
      <c r="B7" s="4"/>
      <c r="C7" s="4"/>
      <c r="E7" s="4" t="s">
        <v>88</v>
      </c>
      <c r="F7" s="4"/>
    </row>
    <row r="8" spans="1:9" hidden="1" x14ac:dyDescent="0.25">
      <c r="G8" t="s">
        <v>89</v>
      </c>
    </row>
    <row r="9" spans="1:9" hidden="1" x14ac:dyDescent="0.25">
      <c r="D9" s="1" t="s">
        <v>90</v>
      </c>
      <c r="E9" t="s">
        <v>91</v>
      </c>
      <c r="F9" t="s">
        <v>64</v>
      </c>
      <c r="G9" t="s">
        <v>92</v>
      </c>
    </row>
    <row r="10" spans="1:9" hidden="1" x14ac:dyDescent="0.25">
      <c r="A10" t="s">
        <v>93</v>
      </c>
      <c r="D10" s="6">
        <v>34.9</v>
      </c>
      <c r="E10" s="6">
        <f>F10-D10</f>
        <v>48.988000000000007</v>
      </c>
      <c r="F10" s="6">
        <f>78.4*1.07</f>
        <v>83.888000000000005</v>
      </c>
      <c r="G10" s="3">
        <f>E10/D10-1</f>
        <v>0.4036676217765045</v>
      </c>
    </row>
    <row r="11" spans="1:9" hidden="1" x14ac:dyDescent="0.25">
      <c r="A11" t="s">
        <v>80</v>
      </c>
      <c r="D11" s="6">
        <v>8</v>
      </c>
      <c r="E11" s="6">
        <f>F11-D11</f>
        <v>19.369999999999997</v>
      </c>
      <c r="F11" s="6">
        <f>23.8*1.15</f>
        <v>27.369999999999997</v>
      </c>
      <c r="G11" s="3">
        <f>E11/D11-1</f>
        <v>1.4212499999999997</v>
      </c>
    </row>
    <row r="12" spans="1:9" hidden="1" x14ac:dyDescent="0.25">
      <c r="A12" t="s">
        <v>72</v>
      </c>
      <c r="D12" s="2">
        <f>D11/$D$4</f>
        <v>5.2631578947368418E-2</v>
      </c>
      <c r="E12" s="2">
        <f>E11/$E$4</f>
        <v>0.26534246575342463</v>
      </c>
      <c r="F12" s="2">
        <f>F11/$F$4</f>
        <v>0.12164444444444443</v>
      </c>
    </row>
    <row r="13" spans="1:9" hidden="1" x14ac:dyDescent="0.25"/>
    <row r="14" spans="1:9" x14ac:dyDescent="0.25">
      <c r="A14" s="4"/>
    </row>
  </sheetData>
  <pageMargins left="0.7" right="0.7" top="0.75" bottom="0.75" header="0.3" footer="0.3"/>
  <pageSetup paperSize="9" scale="9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5148E-0886-4A19-9BAB-CD97CBA457C1}">
  <sheetPr codeName="Taul10">
    <tabColor rgb="FFFFFF00"/>
    <pageSetUpPr fitToPage="1"/>
  </sheetPr>
  <dimension ref="A1:I6"/>
  <sheetViews>
    <sheetView workbookViewId="0">
      <selection activeCell="F4" sqref="F4"/>
    </sheetView>
  </sheetViews>
  <sheetFormatPr defaultRowHeight="15" x14ac:dyDescent="0.25"/>
  <cols>
    <col min="1" max="1" width="16" bestFit="1" customWidth="1"/>
    <col min="2" max="3" width="7.7109375" bestFit="1" customWidth="1"/>
    <col min="4" max="4" width="7.7109375" style="1" bestFit="1" customWidth="1"/>
    <col min="5" max="5" width="9.42578125" customWidth="1"/>
    <col min="6" max="6" width="18.28515625" bestFit="1" customWidth="1"/>
    <col min="7" max="9" width="10.42578125" bestFit="1" customWidth="1"/>
  </cols>
  <sheetData>
    <row r="1" spans="1:9" ht="15.75" thickBot="1" x14ac:dyDescent="0.3">
      <c r="A1" s="4" t="s">
        <v>94</v>
      </c>
      <c r="B1" s="4"/>
      <c r="C1" s="4"/>
      <c r="E1" s="4"/>
      <c r="F1" s="18" t="s">
        <v>61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f>2828+3105+2949</f>
        <v>8882</v>
      </c>
      <c r="C4" s="13">
        <v>2902</v>
      </c>
      <c r="D4" s="13">
        <v>8880</v>
      </c>
      <c r="E4" s="25">
        <f>F4-D4</f>
        <v>3289</v>
      </c>
      <c r="F4" s="13">
        <v>12169</v>
      </c>
      <c r="G4" s="3">
        <f>D4/B4-1</f>
        <v>-2.2517451024539614E-4</v>
      </c>
      <c r="H4" s="3">
        <f>E4/C4-1</f>
        <v>0.1333563059958649</v>
      </c>
      <c r="I4" s="3">
        <f>(D4+E4)/(B4+C4)-1</f>
        <v>3.2671418873048141E-2</v>
      </c>
    </row>
    <row r="5" spans="1:9" x14ac:dyDescent="0.25">
      <c r="A5" t="s">
        <v>95</v>
      </c>
      <c r="B5" s="13">
        <v>542</v>
      </c>
      <c r="C5" s="13">
        <v>170</v>
      </c>
      <c r="D5" s="13">
        <v>479</v>
      </c>
      <c r="E5" s="25">
        <f>F5-D5</f>
        <v>176</v>
      </c>
      <c r="F5" s="13">
        <v>655</v>
      </c>
      <c r="G5" s="3">
        <f t="shared" ref="G5" si="0">D5/B5-1</f>
        <v>-0.1162361623616236</v>
      </c>
      <c r="H5" s="3">
        <f t="shared" ref="H5" si="1">E5/C5-1</f>
        <v>3.529411764705892E-2</v>
      </c>
      <c r="I5" s="3">
        <f t="shared" ref="I5" si="2">(D5+E5)/(B5+C5)-1</f>
        <v>-8.00561797752809E-2</v>
      </c>
    </row>
    <row r="6" spans="1:9" x14ac:dyDescent="0.25">
      <c r="A6" t="s">
        <v>72</v>
      </c>
      <c r="B6" s="11">
        <f>B5/B4</f>
        <v>6.1022292276514296E-2</v>
      </c>
      <c r="C6" s="11">
        <f>C5/C4</f>
        <v>5.8580289455547899E-2</v>
      </c>
      <c r="D6" s="11">
        <f t="shared" ref="D6:F6" si="3">D5/D4</f>
        <v>5.3941441441441439E-2</v>
      </c>
      <c r="E6" s="26">
        <f t="shared" si="3"/>
        <v>5.3511705685618728E-2</v>
      </c>
      <c r="F6" s="2">
        <f t="shared" si="3"/>
        <v>5.382529377927521E-2</v>
      </c>
      <c r="G6" s="3"/>
      <c r="H6" s="3"/>
      <c r="I6" s="3"/>
    </row>
  </sheetData>
  <pageMargins left="0.7" right="0.7" top="0.75" bottom="0.75" header="0.3" footer="0.3"/>
  <pageSetup paperSize="9" scale="9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8BBC8-1D8C-4981-9C8B-046C1935C308}">
  <sheetPr codeName="Taul17">
    <tabColor rgb="FFFFFF00"/>
    <pageSetUpPr fitToPage="1"/>
  </sheetPr>
  <dimension ref="A1:I7"/>
  <sheetViews>
    <sheetView workbookViewId="0">
      <selection activeCell="G4" sqref="G4"/>
    </sheetView>
  </sheetViews>
  <sheetFormatPr defaultRowHeight="15" x14ac:dyDescent="0.25"/>
  <cols>
    <col min="1" max="1" width="12.85546875" bestFit="1" customWidth="1"/>
    <col min="2" max="3" width="7.7109375" bestFit="1" customWidth="1"/>
    <col min="4" max="4" width="7.7109375" style="1" bestFit="1" customWidth="1"/>
    <col min="5" max="5" width="9.42578125" customWidth="1"/>
    <col min="6" max="6" width="18.28515625" bestFit="1" customWidth="1"/>
    <col min="7" max="9" width="10.42578125" bestFit="1" customWidth="1"/>
  </cols>
  <sheetData>
    <row r="1" spans="1:9" ht="15.75" thickBot="1" x14ac:dyDescent="0.3">
      <c r="A1" s="4" t="s">
        <v>96</v>
      </c>
      <c r="B1" s="4"/>
      <c r="C1" s="4"/>
      <c r="E1" s="4"/>
      <c r="F1" s="18" t="s">
        <v>61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f>2556+2836+2750</f>
        <v>8142</v>
      </c>
      <c r="C4" s="13">
        <v>2810</v>
      </c>
      <c r="D4" s="13">
        <v>8123</v>
      </c>
      <c r="E4" s="25">
        <f>F4-D4</f>
        <v>3048.0400000000009</v>
      </c>
      <c r="F4" s="13">
        <f>10952*1.02</f>
        <v>11171.04</v>
      </c>
      <c r="G4" s="3">
        <f>D4/B4-1</f>
        <v>-2.333578973225281E-3</v>
      </c>
      <c r="H4" s="3">
        <f>E4/C4-1</f>
        <v>8.4711743772242221E-2</v>
      </c>
      <c r="I4" s="3">
        <f>(D4+E4)/(B4+C4)-1</f>
        <v>2.0000000000000018E-2</v>
      </c>
    </row>
    <row r="5" spans="1:9" x14ac:dyDescent="0.25">
      <c r="A5" t="s">
        <v>71</v>
      </c>
      <c r="B5" s="13">
        <f>242+332+316</f>
        <v>890</v>
      </c>
      <c r="C5" s="13">
        <v>362</v>
      </c>
      <c r="D5" s="13">
        <v>917</v>
      </c>
      <c r="E5" s="25">
        <f>F5-D5</f>
        <v>390.01168000000007</v>
      </c>
      <c r="F5" s="13">
        <f>F4*F6</f>
        <v>1307.0116800000001</v>
      </c>
      <c r="G5" s="3">
        <f t="shared" ref="G5" si="0">D5/B5-1</f>
        <v>3.0337078651685445E-2</v>
      </c>
      <c r="H5" s="3">
        <f t="shared" ref="H5" si="1">E5/C5-1</f>
        <v>7.7380331491712973E-2</v>
      </c>
      <c r="I5" s="3">
        <f t="shared" ref="I5" si="2">(D5+E5)/(B5+C5)-1</f>
        <v>4.393904153354633E-2</v>
      </c>
    </row>
    <row r="6" spans="1:9" x14ac:dyDescent="0.25">
      <c r="A6" t="s">
        <v>82</v>
      </c>
      <c r="B6" s="11">
        <f>B5/B4</f>
        <v>0.10930975190370916</v>
      </c>
      <c r="C6" s="11">
        <f>C5/C4</f>
        <v>0.1288256227758007</v>
      </c>
      <c r="D6" s="11">
        <f t="shared" ref="D6:E6" si="3">D5/D4</f>
        <v>0.11288932660347162</v>
      </c>
      <c r="E6" s="26">
        <f t="shared" si="3"/>
        <v>0.1279549087282319</v>
      </c>
      <c r="F6" s="2">
        <v>0.11700000000000001</v>
      </c>
      <c r="G6" s="3"/>
      <c r="H6" s="3"/>
      <c r="I6" s="3"/>
    </row>
    <row r="7" spans="1:9" x14ac:dyDescent="0.25">
      <c r="E7" s="16"/>
    </row>
  </sheetData>
  <pageMargins left="0.7" right="0.7" top="0.75" bottom="0.75" header="0.3" footer="0.3"/>
  <pageSetup paperSize="9" scale="9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14B88-EE7C-45E7-89D8-7C3E834E1363}">
  <sheetPr codeName="Taul16">
    <tabColor rgb="FFFFFF00"/>
    <pageSetUpPr fitToPage="1"/>
  </sheetPr>
  <dimension ref="A1:I7"/>
  <sheetViews>
    <sheetView workbookViewId="0">
      <selection activeCell="G4" sqref="G4"/>
    </sheetView>
  </sheetViews>
  <sheetFormatPr defaultRowHeight="15" x14ac:dyDescent="0.25"/>
  <cols>
    <col min="1" max="1" width="13.85546875" bestFit="1" customWidth="1"/>
    <col min="2" max="3" width="7.42578125" bestFit="1" customWidth="1"/>
    <col min="4" max="4" width="7.42578125" style="1" bestFit="1" customWidth="1"/>
    <col min="5" max="5" width="9.42578125" customWidth="1"/>
    <col min="6" max="6" width="18.28515625" bestFit="1" customWidth="1"/>
    <col min="7" max="9" width="10.42578125" bestFit="1" customWidth="1"/>
  </cols>
  <sheetData>
    <row r="1" spans="1:9" ht="15.75" thickBot="1" x14ac:dyDescent="0.3">
      <c r="A1" s="4" t="s">
        <v>97</v>
      </c>
      <c r="B1" s="4"/>
      <c r="C1" s="4"/>
      <c r="E1" s="4"/>
      <c r="F1" s="18" t="s">
        <v>61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v>2817</v>
      </c>
      <c r="C4" s="13">
        <v>1149</v>
      </c>
      <c r="D4" s="13">
        <v>3015</v>
      </c>
      <c r="E4" s="25">
        <f>F4-D4</f>
        <v>1347.6000000000004</v>
      </c>
      <c r="F4" s="13">
        <f>3966*1.1</f>
        <v>4362.6000000000004</v>
      </c>
      <c r="G4" s="3">
        <f>D4/B4-1</f>
        <v>7.0287539936102261E-2</v>
      </c>
      <c r="H4" s="3">
        <f>E4/C4-1</f>
        <v>0.17284595300261119</v>
      </c>
      <c r="I4" s="3">
        <f>(D4+E4)/(B4+C4)-1</f>
        <v>0.10000000000000009</v>
      </c>
    </row>
    <row r="5" spans="1:9" x14ac:dyDescent="0.25">
      <c r="A5" t="s">
        <v>71</v>
      </c>
      <c r="B5" s="13">
        <v>294</v>
      </c>
      <c r="C5" s="13">
        <v>122</v>
      </c>
      <c r="D5" s="13">
        <v>369</v>
      </c>
      <c r="E5" s="25">
        <f>F5-D5</f>
        <v>167.59980000000007</v>
      </c>
      <c r="F5" s="13">
        <f>F4*F6</f>
        <v>536.59980000000007</v>
      </c>
      <c r="G5" s="3">
        <f t="shared" ref="G5" si="0">D5/B5-1</f>
        <v>0.25510204081632648</v>
      </c>
      <c r="H5" s="3">
        <f t="shared" ref="H5" si="1">E5/C5-1</f>
        <v>0.37376885245901703</v>
      </c>
      <c r="I5" s="3">
        <f t="shared" ref="I5" si="2">(D5+E5)/(B5+C5)-1</f>
        <v>0.28990336538461547</v>
      </c>
    </row>
    <row r="6" spans="1:9" x14ac:dyDescent="0.25">
      <c r="A6" t="s">
        <v>82</v>
      </c>
      <c r="B6" s="11">
        <f>B5/B4</f>
        <v>0.10436634717784878</v>
      </c>
      <c r="C6" s="11">
        <f>C5/C4</f>
        <v>0.1061792863359443</v>
      </c>
      <c r="D6" s="11">
        <f t="shared" ref="D6:E6" si="3">D5/D4</f>
        <v>0.12238805970149254</v>
      </c>
      <c r="E6" s="26">
        <f t="shared" si="3"/>
        <v>0.12436910062333038</v>
      </c>
      <c r="F6" s="2">
        <v>0.123</v>
      </c>
      <c r="G6" s="3"/>
      <c r="H6" s="3"/>
      <c r="I6" s="3"/>
    </row>
    <row r="7" spans="1:9" x14ac:dyDescent="0.25">
      <c r="E7" s="16"/>
    </row>
  </sheetData>
  <pageMargins left="0.7" right="0.7" top="0.75" bottom="0.75" header="0.3" footer="0.3"/>
  <pageSetup paperSize="9" scale="9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4215C-B017-4740-9468-06377549ECEF}">
  <sheetPr codeName="Taul12">
    <tabColor rgb="FFFFFF00"/>
    <pageSetUpPr fitToPage="1"/>
  </sheetPr>
  <dimension ref="A1:I6"/>
  <sheetViews>
    <sheetView workbookViewId="0">
      <selection activeCell="F6" sqref="F6"/>
    </sheetView>
  </sheetViews>
  <sheetFormatPr defaultRowHeight="15" x14ac:dyDescent="0.25"/>
  <cols>
    <col min="1" max="1" width="16.42578125" bestFit="1" customWidth="1"/>
    <col min="2" max="2" width="6.85546875" bestFit="1" customWidth="1"/>
    <col min="3" max="3" width="6.28515625" bestFit="1" customWidth="1"/>
    <col min="4" max="4" width="7.140625" style="1" bestFit="1" customWidth="1"/>
    <col min="5" max="5" width="9.42578125" customWidth="1"/>
    <col min="6" max="6" width="20.85546875" bestFit="1" customWidth="1"/>
    <col min="7" max="9" width="10.42578125" bestFit="1" customWidth="1"/>
  </cols>
  <sheetData>
    <row r="1" spans="1:9" ht="15.75" thickBot="1" x14ac:dyDescent="0.3">
      <c r="A1" s="4" t="s">
        <v>98</v>
      </c>
      <c r="B1" s="4"/>
      <c r="C1" s="4"/>
      <c r="E1" s="4"/>
      <c r="F1" s="18" t="s">
        <v>61</v>
      </c>
    </row>
    <row r="2" spans="1:9" x14ac:dyDescent="0.25">
      <c r="B2" s="28">
        <v>2023</v>
      </c>
      <c r="C2" s="28">
        <v>2023</v>
      </c>
      <c r="D2" s="28">
        <v>2024</v>
      </c>
      <c r="E2" s="28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29" t="s">
        <v>62</v>
      </c>
      <c r="C3" s="29" t="s">
        <v>63</v>
      </c>
      <c r="D3" s="30" t="s">
        <v>62</v>
      </c>
      <c r="E3" s="31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4">
        <v>202.6</v>
      </c>
      <c r="C4" s="14">
        <f>271.3-B4</f>
        <v>68.700000000000017</v>
      </c>
      <c r="D4" s="13">
        <v>209.3</v>
      </c>
      <c r="E4" s="15">
        <f>F4-D4</f>
        <v>75.564999999999998</v>
      </c>
      <c r="F4" s="13">
        <f>271.3*1.05</f>
        <v>284.86500000000001</v>
      </c>
      <c r="G4" s="3">
        <f>D4/B4-1</f>
        <v>3.3070088845014833E-2</v>
      </c>
      <c r="H4" s="3">
        <f>E4/C4-1</f>
        <v>9.9927219796215105E-2</v>
      </c>
      <c r="I4" s="3">
        <f>(D4+E4)/(B4+C4)-1</f>
        <v>5.0000000000000044E-2</v>
      </c>
    </row>
    <row r="5" spans="1:9" x14ac:dyDescent="0.25">
      <c r="A5" t="s">
        <v>99</v>
      </c>
      <c r="B5" s="14">
        <v>27.7</v>
      </c>
      <c r="C5" s="14">
        <f>33.1-B5</f>
        <v>5.4000000000000021</v>
      </c>
      <c r="D5" s="13">
        <v>18.600000000000001</v>
      </c>
      <c r="E5" s="15">
        <f>F5-D5</f>
        <v>9.8865000000000016</v>
      </c>
      <c r="F5" s="13">
        <f>F4*F6</f>
        <v>28.486500000000003</v>
      </c>
      <c r="G5" s="3">
        <f t="shared" ref="G5" si="0">D5/B5-1</f>
        <v>-0.32851985559566776</v>
      </c>
      <c r="H5" s="3">
        <f t="shared" ref="H5" si="1">E5/C5-1</f>
        <v>0.83083333333333287</v>
      </c>
      <c r="I5" s="3">
        <f t="shared" ref="I5" si="2">(D5+E5)/(B5+C5)-1</f>
        <v>-0.13938066465256793</v>
      </c>
    </row>
    <row r="6" spans="1:9" x14ac:dyDescent="0.25">
      <c r="A6" t="s">
        <v>112</v>
      </c>
      <c r="B6" s="2">
        <f>B5/B4</f>
        <v>0.13672260612043435</v>
      </c>
      <c r="C6" s="2">
        <f>C5/C4</f>
        <v>7.8602620087336261E-2</v>
      </c>
      <c r="D6" s="2">
        <f t="shared" ref="D6:E6" si="3">D5/D4</f>
        <v>8.8867654085045392E-2</v>
      </c>
      <c r="E6" s="11">
        <f t="shared" si="3"/>
        <v>0.13083438099649311</v>
      </c>
      <c r="F6" s="2">
        <v>0.1</v>
      </c>
      <c r="G6" s="3"/>
      <c r="H6" s="3"/>
      <c r="I6" s="3"/>
    </row>
  </sheetData>
  <pageMargins left="0.7" right="0.7" top="0.75" bottom="0.75" header="0.3" footer="0.3"/>
  <pageSetup paperSize="9" scale="9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6ACA1-38D3-4960-BC4C-F1E020DB7ABA}">
  <sheetPr codeName="Taul6">
    <tabColor rgb="FFFFFF00"/>
    <pageSetUpPr fitToPage="1"/>
  </sheetPr>
  <dimension ref="A1:I6"/>
  <sheetViews>
    <sheetView workbookViewId="0">
      <selection activeCell="F6" sqref="F6"/>
    </sheetView>
  </sheetViews>
  <sheetFormatPr defaultRowHeight="15" x14ac:dyDescent="0.25"/>
  <cols>
    <col min="1" max="1" width="33" bestFit="1" customWidth="1"/>
    <col min="2" max="3" width="5.7109375" bestFit="1" customWidth="1"/>
    <col min="4" max="4" width="7.140625" style="1" bestFit="1" customWidth="1"/>
    <col min="5" max="5" width="9.42578125" customWidth="1"/>
    <col min="6" max="6" width="18.28515625" bestFit="1" customWidth="1"/>
    <col min="7" max="9" width="10.42578125" bestFit="1" customWidth="1"/>
  </cols>
  <sheetData>
    <row r="1" spans="1:9" ht="15.75" thickBot="1" x14ac:dyDescent="0.3">
      <c r="A1" s="4" t="s">
        <v>100</v>
      </c>
      <c r="B1" s="4"/>
      <c r="C1" s="4"/>
      <c r="E1" s="4"/>
      <c r="F1" s="18" t="s">
        <v>61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4">
        <v>29.8</v>
      </c>
      <c r="C4" s="14">
        <v>12.1</v>
      </c>
      <c r="D4" s="13">
        <v>32.799999999999997</v>
      </c>
      <c r="E4" s="25">
        <f>F4-D4</f>
        <v>10.950000000000003</v>
      </c>
      <c r="F4" s="13">
        <v>43.75</v>
      </c>
      <c r="G4" s="3">
        <f>D4/B4-1</f>
        <v>0.10067114093959728</v>
      </c>
      <c r="H4" s="3">
        <f>E4/C4-1</f>
        <v>-9.504132231404927E-2</v>
      </c>
      <c r="I4" s="3">
        <f>(D4+E4)/(B4+C4)-1</f>
        <v>4.4152744630071572E-2</v>
      </c>
    </row>
    <row r="5" spans="1:9" x14ac:dyDescent="0.25">
      <c r="A5" t="s">
        <v>101</v>
      </c>
      <c r="B5" s="14">
        <v>2.9</v>
      </c>
      <c r="C5" s="14">
        <v>1</v>
      </c>
      <c r="D5" s="13">
        <v>3.8</v>
      </c>
      <c r="E5" s="25">
        <f>F5-D5</f>
        <v>1.25</v>
      </c>
      <c r="F5" s="13">
        <v>5.05</v>
      </c>
      <c r="G5" s="3">
        <f t="shared" ref="G5" si="0">D5/B5-1</f>
        <v>0.31034482758620685</v>
      </c>
      <c r="H5" s="3">
        <f t="shared" ref="H5" si="1">E5/C5-1</f>
        <v>0.25</v>
      </c>
      <c r="I5" s="3">
        <f t="shared" ref="I5" si="2">(D5+E5)/(B5+C5)-1</f>
        <v>0.29487179487179493</v>
      </c>
    </row>
    <row r="6" spans="1:9" x14ac:dyDescent="0.25">
      <c r="A6" t="s">
        <v>72</v>
      </c>
      <c r="B6" s="2">
        <f>B5/B4</f>
        <v>9.7315436241610737E-2</v>
      </c>
      <c r="C6" s="2">
        <f>C5/C4</f>
        <v>8.2644628099173556E-2</v>
      </c>
      <c r="D6" s="2">
        <f t="shared" ref="D6:F6" si="3">D5/D4</f>
        <v>0.11585365853658537</v>
      </c>
      <c r="E6" s="26">
        <f t="shared" si="3"/>
        <v>0.11415525114155248</v>
      </c>
      <c r="F6" s="2">
        <f t="shared" si="3"/>
        <v>0.11542857142857142</v>
      </c>
      <c r="G6" s="3"/>
      <c r="H6" s="3"/>
      <c r="I6" s="3"/>
    </row>
  </sheetData>
  <pageMargins left="0.7" right="0.7" top="0.75" bottom="0.75" header="0.3" footer="0.3"/>
  <pageSetup paperSize="9" scale="8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70ECA-C56B-4940-8BB8-5D390E8050DB}">
  <sheetPr codeName="Taul39">
    <tabColor rgb="FFFFFF00"/>
    <pageSetUpPr fitToPage="1"/>
  </sheetPr>
  <dimension ref="A1:I6"/>
  <sheetViews>
    <sheetView workbookViewId="0">
      <selection activeCell="G4" sqref="G4"/>
    </sheetView>
  </sheetViews>
  <sheetFormatPr defaultRowHeight="15" x14ac:dyDescent="0.25"/>
  <cols>
    <col min="1" max="1" width="19.140625" bestFit="1" customWidth="1"/>
    <col min="2" max="3" width="6.85546875" bestFit="1" customWidth="1"/>
    <col min="4" max="4" width="7.140625" style="1" bestFit="1" customWidth="1"/>
    <col min="5" max="5" width="9.42578125" customWidth="1"/>
    <col min="6" max="6" width="18.28515625" bestFit="1" customWidth="1"/>
    <col min="7" max="9" width="10.42578125" bestFit="1" customWidth="1"/>
  </cols>
  <sheetData>
    <row r="1" spans="1:9" ht="15.75" thickBot="1" x14ac:dyDescent="0.3">
      <c r="A1" s="4" t="s">
        <v>102</v>
      </c>
      <c r="B1" s="4"/>
      <c r="C1" s="4"/>
      <c r="E1" s="4"/>
      <c r="F1" s="18" t="s">
        <v>61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v>601.20000000000005</v>
      </c>
      <c r="C4" s="13">
        <f>802-B4</f>
        <v>200.79999999999995</v>
      </c>
      <c r="D4" s="13">
        <v>576.5</v>
      </c>
      <c r="E4" s="25">
        <f>F4-D4</f>
        <v>225.5</v>
      </c>
      <c r="F4" s="13">
        <v>802</v>
      </c>
      <c r="G4" s="3">
        <f>D4/B4-1</f>
        <v>-4.108449767132405E-2</v>
      </c>
      <c r="H4" s="3">
        <f>E4/C4-1</f>
        <v>0.12300796812749026</v>
      </c>
      <c r="I4" s="3">
        <f>(D4+E4)/(B4+C4)-1</f>
        <v>0</v>
      </c>
    </row>
    <row r="5" spans="1:9" x14ac:dyDescent="0.25">
      <c r="A5" t="s">
        <v>95</v>
      </c>
      <c r="B5" s="13">
        <v>31.8</v>
      </c>
      <c r="C5" s="13">
        <f>39-B5</f>
        <v>7.1999999999999993</v>
      </c>
      <c r="D5" s="13">
        <v>32.700000000000003</v>
      </c>
      <c r="E5" s="25">
        <f>F5-D5</f>
        <v>8.25</v>
      </c>
      <c r="F5" s="13">
        <f>39*1.05</f>
        <v>40.950000000000003</v>
      </c>
      <c r="G5" s="3">
        <f t="shared" ref="G5" si="0">D5/B5-1</f>
        <v>2.8301886792452935E-2</v>
      </c>
      <c r="H5" s="3">
        <f t="shared" ref="H5" si="1">E5/C5-1</f>
        <v>0.14583333333333348</v>
      </c>
      <c r="I5" s="3">
        <f t="shared" ref="I5" si="2">(D5+E5)/(B5+C5)-1</f>
        <v>5.0000000000000044E-2</v>
      </c>
    </row>
    <row r="6" spans="1:9" x14ac:dyDescent="0.25">
      <c r="A6" t="s">
        <v>72</v>
      </c>
      <c r="B6" s="11">
        <f>B5/B4</f>
        <v>5.2894211576846303E-2</v>
      </c>
      <c r="C6" s="11">
        <f>C5/C4</f>
        <v>3.5856573705179286E-2</v>
      </c>
      <c r="D6" s="11">
        <f t="shared" ref="D6:F6" si="3">D5/D4</f>
        <v>5.6721595836947102E-2</v>
      </c>
      <c r="E6" s="26">
        <f t="shared" si="3"/>
        <v>3.6585365853658534E-2</v>
      </c>
      <c r="F6" s="2">
        <f t="shared" si="3"/>
        <v>5.1059850374064839E-2</v>
      </c>
      <c r="G6" s="3"/>
      <c r="H6" s="3"/>
      <c r="I6" s="3"/>
    </row>
  </sheetData>
  <pageMargins left="0.7" right="0.7" top="0.75" bottom="0.75" header="0.3" footer="0.3"/>
  <pageSetup paperSize="9" scale="9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38B5E-5C76-4B2B-8199-C559A18934E1}">
  <sheetPr codeName="Taul9">
    <tabColor rgb="FFFFFF00"/>
    <pageSetUpPr fitToPage="1"/>
  </sheetPr>
  <dimension ref="A1:I6"/>
  <sheetViews>
    <sheetView workbookViewId="0">
      <selection activeCell="G4" sqref="G4"/>
    </sheetView>
  </sheetViews>
  <sheetFormatPr defaultRowHeight="15" x14ac:dyDescent="0.25"/>
  <cols>
    <col min="1" max="1" width="16" bestFit="1" customWidth="1"/>
    <col min="2" max="3" width="6.85546875" bestFit="1" customWidth="1"/>
    <col min="4" max="4" width="7.140625" style="1" bestFit="1" customWidth="1"/>
    <col min="5" max="5" width="9.42578125" customWidth="1"/>
    <col min="6" max="6" width="18.28515625" bestFit="1" customWidth="1"/>
    <col min="7" max="9" width="10.42578125" bestFit="1" customWidth="1"/>
  </cols>
  <sheetData>
    <row r="1" spans="1:9" ht="15.75" thickBot="1" x14ac:dyDescent="0.3">
      <c r="A1" s="4" t="s">
        <v>103</v>
      </c>
      <c r="B1" s="4"/>
      <c r="C1" s="4"/>
      <c r="E1" s="4"/>
      <c r="F1" s="18" t="s">
        <v>61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f>35.3+40.3</f>
        <v>75.599999999999994</v>
      </c>
      <c r="C4" s="13">
        <v>50.6</v>
      </c>
      <c r="D4" s="13">
        <v>128.6</v>
      </c>
      <c r="E4" s="25">
        <f>F4-D4</f>
        <v>54.205000000000013</v>
      </c>
      <c r="F4" s="13">
        <f>1.05*174.1</f>
        <v>182.80500000000001</v>
      </c>
      <c r="G4" s="3">
        <f>D4/B4-1</f>
        <v>0.70105820105820116</v>
      </c>
      <c r="H4" s="3">
        <f>E4/C4-1</f>
        <v>7.124505928853786E-2</v>
      </c>
      <c r="I4" s="3">
        <f>(D4+E4)/(B4+C4)-1</f>
        <v>0.44853407290015856</v>
      </c>
    </row>
    <row r="5" spans="1:9" x14ac:dyDescent="0.25">
      <c r="A5" t="s">
        <v>95</v>
      </c>
      <c r="B5" s="13">
        <f>3.8+6.6</f>
        <v>10.399999999999999</v>
      </c>
      <c r="C5" s="13">
        <v>8.1</v>
      </c>
      <c r="D5" s="13">
        <v>22.7</v>
      </c>
      <c r="E5" s="25">
        <f>F5-D5</f>
        <v>9.2908749999999998</v>
      </c>
      <c r="F5" s="13">
        <f>0.175*F4</f>
        <v>31.990874999999999</v>
      </c>
      <c r="G5" s="3">
        <f t="shared" ref="G5" si="0">D5/B5-1</f>
        <v>1.1826923076923079</v>
      </c>
      <c r="H5" s="3">
        <f t="shared" ref="H5" si="1">E5/C5-1</f>
        <v>0.14702160493827154</v>
      </c>
      <c r="I5" s="3">
        <f t="shared" ref="I5" si="2">(D5+E5)/(B5+C5)-1</f>
        <v>0.72923648648648642</v>
      </c>
    </row>
    <row r="6" spans="1:9" x14ac:dyDescent="0.25">
      <c r="A6" t="s">
        <v>72</v>
      </c>
      <c r="B6" s="11">
        <f>B5/B4</f>
        <v>0.13756613756613756</v>
      </c>
      <c r="C6" s="11">
        <f>C5/C4</f>
        <v>0.1600790513833992</v>
      </c>
      <c r="D6" s="11">
        <f t="shared" ref="D6:F6" si="3">D5/D4</f>
        <v>0.17651632970451012</v>
      </c>
      <c r="E6" s="26">
        <f t="shared" si="3"/>
        <v>0.17140254589060044</v>
      </c>
      <c r="F6" s="2">
        <f t="shared" si="3"/>
        <v>0.17499999999999999</v>
      </c>
      <c r="G6" s="3"/>
      <c r="H6" s="3"/>
      <c r="I6" s="3"/>
    </row>
  </sheetData>
  <pageMargins left="0.7" right="0.7" top="0.75" bottom="0.75" header="0.3" footer="0.3"/>
  <pageSetup paperSize="9" scale="9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801E6-F907-4051-9F67-F8DA968A7A6F}">
  <sheetPr codeName="Taul29">
    <tabColor rgb="FFFFFF00"/>
    <pageSetUpPr fitToPage="1"/>
  </sheetPr>
  <dimension ref="A1:I6"/>
  <sheetViews>
    <sheetView workbookViewId="0">
      <selection activeCell="G4" sqref="G4"/>
    </sheetView>
  </sheetViews>
  <sheetFormatPr defaultRowHeight="15" x14ac:dyDescent="0.25"/>
  <cols>
    <col min="1" max="1" width="8.28515625" bestFit="1" customWidth="1"/>
    <col min="2" max="3" width="8.85546875" bestFit="1" customWidth="1"/>
    <col min="4" max="4" width="8.85546875" style="1" bestFit="1" customWidth="1"/>
    <col min="5" max="5" width="9.42578125" customWidth="1"/>
    <col min="6" max="6" width="20" bestFit="1" customWidth="1"/>
    <col min="7" max="9" width="10.42578125" bestFit="1" customWidth="1"/>
  </cols>
  <sheetData>
    <row r="1" spans="1:9" ht="15.75" thickBot="1" x14ac:dyDescent="0.3">
      <c r="A1" s="4" t="s">
        <v>131</v>
      </c>
      <c r="B1" s="4"/>
      <c r="C1" s="4"/>
      <c r="E1" s="4"/>
      <c r="F1" s="18" t="s">
        <v>122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s="12" t="s">
        <v>70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f>28645+31999+34146</f>
        <v>94790</v>
      </c>
      <c r="C4" s="13">
        <v>40111</v>
      </c>
      <c r="D4" s="13">
        <f>36455+39071</f>
        <v>75526</v>
      </c>
      <c r="E4" s="25">
        <f>F4-D4</f>
        <v>86098</v>
      </c>
      <c r="F4" s="13">
        <f>D4+40109+45989</f>
        <v>161624</v>
      </c>
      <c r="G4" s="3">
        <f>D4/B4-1</f>
        <v>-0.20322818862749237</v>
      </c>
      <c r="H4" s="3">
        <f>E4/C4-1</f>
        <v>1.1464934805913591</v>
      </c>
      <c r="I4" s="3">
        <f>(D4+E4)/(B4+C4)-1</f>
        <v>0.19809341665369429</v>
      </c>
    </row>
    <row r="5" spans="1:9" x14ac:dyDescent="0.25">
      <c r="A5" t="s">
        <v>80</v>
      </c>
      <c r="B5" s="13">
        <f>7848+9576+14128</f>
        <v>31552</v>
      </c>
      <c r="C5" s="13">
        <v>17533</v>
      </c>
      <c r="D5" s="13">
        <f>13818+14847</f>
        <v>28665</v>
      </c>
      <c r="E5" s="25">
        <f>F5-D5</f>
        <v>34906</v>
      </c>
      <c r="F5" s="13">
        <f>D5+15826+19080</f>
        <v>63571</v>
      </c>
      <c r="G5" s="3">
        <f t="shared" ref="G5" si="0">D5/B5-1</f>
        <v>-9.1499746450304231E-2</v>
      </c>
      <c r="H5" s="3">
        <f t="shared" ref="H5" si="1">E5/C5-1</f>
        <v>0.99087435122340728</v>
      </c>
      <c r="I5" s="3">
        <f t="shared" ref="I5" si="2">(D5+E5)/(B5+C5)-1</f>
        <v>0.29512070897422849</v>
      </c>
    </row>
    <row r="6" spans="1:9" x14ac:dyDescent="0.25">
      <c r="A6" t="s">
        <v>72</v>
      </c>
      <c r="B6" s="11">
        <f>B5/B4</f>
        <v>0.33286211625698914</v>
      </c>
      <c r="C6" s="11">
        <f>C5/C4</f>
        <v>0.43711201416070405</v>
      </c>
      <c r="D6" s="11">
        <f t="shared" ref="D6:F6" si="3">D5/D4</f>
        <v>0.37953817228504089</v>
      </c>
      <c r="E6" s="26">
        <f t="shared" si="3"/>
        <v>0.40542172872772886</v>
      </c>
      <c r="F6" s="2">
        <f t="shared" si="3"/>
        <v>0.39332648616542099</v>
      </c>
      <c r="G6" s="3"/>
      <c r="H6" s="3"/>
      <c r="I6" s="3"/>
    </row>
  </sheetData>
  <pageMargins left="0.7" right="0.7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1EF43-C678-4C3A-BCC6-BB88D477FAB0}">
  <sheetPr codeName="Taul30">
    <tabColor rgb="FFFFFF00"/>
    <pageSetUpPr fitToPage="1"/>
  </sheetPr>
  <dimension ref="A1:I6"/>
  <sheetViews>
    <sheetView workbookViewId="0">
      <selection activeCell="G4" sqref="G4"/>
    </sheetView>
  </sheetViews>
  <sheetFormatPr defaultRowHeight="15" x14ac:dyDescent="0.25"/>
  <cols>
    <col min="1" max="1" width="11.85546875" bestFit="1" customWidth="1"/>
    <col min="2" max="3" width="10" bestFit="1" customWidth="1"/>
    <col min="4" max="4" width="10" style="1" bestFit="1" customWidth="1"/>
    <col min="5" max="5" width="9.42578125" customWidth="1"/>
    <col min="6" max="6" width="20" bestFit="1" customWidth="1"/>
    <col min="7" max="9" width="10.42578125" bestFit="1" customWidth="1"/>
  </cols>
  <sheetData>
    <row r="1" spans="1:9" ht="15.75" thickBot="1" x14ac:dyDescent="0.3">
      <c r="A1" s="4" t="s">
        <v>132</v>
      </c>
      <c r="B1" s="4"/>
      <c r="C1" s="4"/>
      <c r="E1" s="4"/>
      <c r="F1" s="18" t="s">
        <v>122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s="12" t="s">
        <v>70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f>52857+56189+56517</f>
        <v>165563</v>
      </c>
      <c r="C4" s="13">
        <v>62020</v>
      </c>
      <c r="D4" s="13">
        <f>61858+64727+65585</f>
        <v>192170</v>
      </c>
      <c r="E4" s="25">
        <f>F4-D4</f>
        <v>69852</v>
      </c>
      <c r="F4" s="13">
        <v>262022</v>
      </c>
      <c r="G4" s="3">
        <f>D4/B4-1</f>
        <v>0.16070619643277784</v>
      </c>
      <c r="H4" s="3">
        <f>E4/C4-1</f>
        <v>0.12628184456626901</v>
      </c>
      <c r="I4" s="3">
        <f>(D4+E4)/(B4+C4)-1</f>
        <v>0.15132501109485341</v>
      </c>
    </row>
    <row r="5" spans="1:9" x14ac:dyDescent="0.25">
      <c r="A5" t="s">
        <v>80</v>
      </c>
      <c r="B5" s="13">
        <f>22352+24254+26895</f>
        <v>73501</v>
      </c>
      <c r="C5" s="13">
        <v>27032</v>
      </c>
      <c r="D5" s="13">
        <v>86058</v>
      </c>
      <c r="E5" s="25">
        <f>F5-D5</f>
        <v>30282</v>
      </c>
      <c r="F5" s="13">
        <v>116340</v>
      </c>
      <c r="G5" s="3">
        <f t="shared" ref="G5" si="0">D5/B5-1</f>
        <v>0.17084121304472055</v>
      </c>
      <c r="H5" s="3">
        <f t="shared" ref="H5" si="1">E5/C5-1</f>
        <v>0.12022787807043511</v>
      </c>
      <c r="I5" s="3">
        <f t="shared" ref="I5" si="2">(D5+E5)/(B5+C5)-1</f>
        <v>0.15723195368684917</v>
      </c>
    </row>
    <row r="6" spans="1:9" x14ac:dyDescent="0.25">
      <c r="A6" t="s">
        <v>72</v>
      </c>
      <c r="B6" s="11">
        <f>B5/B4</f>
        <v>0.44394580914817922</v>
      </c>
      <c r="C6" s="11">
        <f>C5/C4</f>
        <v>0.43585940019348596</v>
      </c>
      <c r="D6" s="11">
        <f t="shared" ref="D6:F6" si="3">D5/D4</f>
        <v>0.44782224072435867</v>
      </c>
      <c r="E6" s="26">
        <f t="shared" si="3"/>
        <v>0.43351657790757603</v>
      </c>
      <c r="F6" s="2">
        <f t="shared" si="3"/>
        <v>0.4440085183686866</v>
      </c>
      <c r="G6" s="3"/>
      <c r="H6" s="3"/>
      <c r="I6" s="3"/>
    </row>
  </sheetData>
  <pageMargins left="0.7" right="0.7" top="0.75" bottom="0.75" header="0.3" footer="0.3"/>
  <pageSetup paperSize="9" scale="8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8C2A2-1456-41F1-9D49-9064301E973C}">
  <sheetPr codeName="Taul15">
    <tabColor rgb="FFFFFF00"/>
    <pageSetUpPr fitToPage="1"/>
  </sheetPr>
  <dimension ref="A1:I7"/>
  <sheetViews>
    <sheetView workbookViewId="0">
      <selection activeCell="G4" sqref="G4"/>
    </sheetView>
  </sheetViews>
  <sheetFormatPr defaultRowHeight="15" x14ac:dyDescent="0.25"/>
  <cols>
    <col min="1" max="1" width="8.5703125" bestFit="1" customWidth="1"/>
    <col min="2" max="2" width="8.85546875" bestFit="1" customWidth="1"/>
    <col min="3" max="3" width="8.85546875" customWidth="1"/>
    <col min="4" max="4" width="11.42578125" style="1" customWidth="1"/>
    <col min="5" max="5" width="9.42578125" customWidth="1"/>
    <col min="6" max="6" width="20.85546875" bestFit="1" customWidth="1"/>
    <col min="7" max="9" width="10.42578125" bestFit="1" customWidth="1"/>
  </cols>
  <sheetData>
    <row r="1" spans="1:9" ht="15.75" thickBot="1" x14ac:dyDescent="0.3">
      <c r="A1" s="4" t="s">
        <v>104</v>
      </c>
      <c r="B1" s="4"/>
      <c r="C1" s="4"/>
      <c r="E1" s="4"/>
      <c r="F1" s="17" t="s">
        <v>69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7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s="4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v>15722</v>
      </c>
      <c r="C4" s="13">
        <v>5707</v>
      </c>
      <c r="D4" s="15">
        <v>13236</v>
      </c>
      <c r="E4" s="25">
        <f>F4-D4</f>
        <v>6093</v>
      </c>
      <c r="F4" s="15">
        <v>19329</v>
      </c>
      <c r="G4" s="3">
        <f>D4/B4-1</f>
        <v>-0.15812237628800407</v>
      </c>
      <c r="H4" s="3">
        <f>E4/C4-1</f>
        <v>6.7636236201156441E-2</v>
      </c>
      <c r="I4" s="3">
        <f>(D4+E4)/(B4+C4)-1</f>
        <v>-9.7998040039199208E-2</v>
      </c>
    </row>
    <row r="5" spans="1:9" x14ac:dyDescent="0.25">
      <c r="A5" t="s">
        <v>105</v>
      </c>
      <c r="B5" s="13">
        <v>1507</v>
      </c>
      <c r="C5" s="13">
        <v>786</v>
      </c>
      <c r="D5" s="15">
        <v>1477</v>
      </c>
      <c r="E5" s="25">
        <f>F5-D5</f>
        <v>973</v>
      </c>
      <c r="F5" s="15">
        <v>2450</v>
      </c>
      <c r="G5" s="3">
        <f t="shared" ref="G5" si="0">D5/B5-1</f>
        <v>-1.9907100199071048E-2</v>
      </c>
      <c r="H5" s="3">
        <f t="shared" ref="H5" si="1">E5/C5-1</f>
        <v>0.2379134860050891</v>
      </c>
      <c r="I5" s="3">
        <f t="shared" ref="I5" si="2">(D5+E5)/(B5+C5)-1</f>
        <v>6.846925425207151E-2</v>
      </c>
    </row>
    <row r="6" spans="1:9" x14ac:dyDescent="0.25">
      <c r="A6" t="s">
        <v>82</v>
      </c>
      <c r="B6" s="38">
        <f>B5/B4</f>
        <v>9.5852944917949365E-2</v>
      </c>
      <c r="C6" s="38">
        <f>C5/C4</f>
        <v>0.13772560014017873</v>
      </c>
      <c r="D6" s="11">
        <f t="shared" ref="D6:F6" si="3">D5/D4</f>
        <v>0.11158960411000302</v>
      </c>
      <c r="E6" s="26">
        <f t="shared" si="3"/>
        <v>0.1596914492040046</v>
      </c>
      <c r="F6" s="26">
        <f t="shared" si="3"/>
        <v>0.12675254798489316</v>
      </c>
      <c r="G6" s="3"/>
      <c r="H6" s="3"/>
      <c r="I6" s="3"/>
    </row>
    <row r="7" spans="1:9" x14ac:dyDescent="0.25">
      <c r="E7" s="16"/>
    </row>
  </sheetData>
  <pageMargins left="0.7" right="0.7" top="0.75" bottom="0.75" header="0.3" footer="0.3"/>
  <pageSetup paperSize="9" scale="92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B6CD8-AA11-4AF8-A156-21B413BE91DE}">
  <sheetPr codeName="Taul40">
    <tabColor rgb="FFFFFF00"/>
    <pageSetUpPr fitToPage="1"/>
  </sheetPr>
  <dimension ref="A1:I8"/>
  <sheetViews>
    <sheetView workbookViewId="0">
      <selection activeCell="G4" sqref="G4"/>
    </sheetView>
  </sheetViews>
  <sheetFormatPr defaultRowHeight="15" x14ac:dyDescent="0.25"/>
  <cols>
    <col min="1" max="1" width="14.42578125" bestFit="1" customWidth="1"/>
    <col min="2" max="3" width="6.85546875" bestFit="1" customWidth="1"/>
    <col min="4" max="4" width="7.42578125" style="1" bestFit="1" customWidth="1"/>
    <col min="5" max="5" width="9.42578125" customWidth="1"/>
    <col min="6" max="6" width="36.5703125" bestFit="1" customWidth="1"/>
    <col min="7" max="9" width="10.42578125" bestFit="1" customWidth="1"/>
  </cols>
  <sheetData>
    <row r="1" spans="1:9" ht="15.75" thickBot="1" x14ac:dyDescent="0.3">
      <c r="A1" s="4" t="s">
        <v>141</v>
      </c>
      <c r="B1" s="4"/>
      <c r="C1" s="4"/>
      <c r="E1" s="4"/>
      <c r="F1" s="18" t="s">
        <v>69</v>
      </c>
      <c r="G1" s="48"/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4">
        <v>806</v>
      </c>
      <c r="C4" s="14">
        <f>1174-806</f>
        <v>368</v>
      </c>
      <c r="D4" s="13">
        <v>875</v>
      </c>
      <c r="E4" s="25">
        <f>F4-D4</f>
        <v>475.09999999999991</v>
      </c>
      <c r="F4" s="13">
        <f>1174*1.15</f>
        <v>1350.1</v>
      </c>
      <c r="G4" s="3">
        <f>D4/B4-1</f>
        <v>8.5607940446650099E-2</v>
      </c>
      <c r="H4" s="3">
        <f>E4/C4-1</f>
        <v>0.29103260869565184</v>
      </c>
      <c r="I4" s="3">
        <f>(D4+E4)/(B4+C4)-1</f>
        <v>0.14999999999999991</v>
      </c>
    </row>
    <row r="5" spans="1:9" x14ac:dyDescent="0.25">
      <c r="A5" t="s">
        <v>80</v>
      </c>
      <c r="B5" s="14">
        <v>-1</v>
      </c>
      <c r="C5" s="14">
        <f>32-B5</f>
        <v>33</v>
      </c>
      <c r="D5" s="13">
        <v>-14</v>
      </c>
      <c r="E5" s="25">
        <f>F5-D5</f>
        <v>50.8</v>
      </c>
      <c r="F5" s="15">
        <f>32*1.15</f>
        <v>36.799999999999997</v>
      </c>
      <c r="G5" s="3">
        <f t="shared" ref="G5" si="0">D5/B5-1</f>
        <v>13</v>
      </c>
      <c r="H5" s="3">
        <f t="shared" ref="H5" si="1">E5/C5-1</f>
        <v>0.53939393939393931</v>
      </c>
      <c r="I5" s="3">
        <f t="shared" ref="I5" si="2">(D5+E5)/(B5+C5)-1</f>
        <v>0.14999999999999991</v>
      </c>
    </row>
    <row r="6" spans="1:9" x14ac:dyDescent="0.25">
      <c r="A6" t="s">
        <v>72</v>
      </c>
      <c r="B6" s="2">
        <f>B5/B4</f>
        <v>-1.2406947890818859E-3</v>
      </c>
      <c r="C6" s="2">
        <f>C5/C4</f>
        <v>8.9673913043478257E-2</v>
      </c>
      <c r="D6" s="2">
        <f t="shared" ref="D6:F6" si="3">D5/D4</f>
        <v>-1.6E-2</v>
      </c>
      <c r="E6" s="26">
        <f t="shared" si="3"/>
        <v>0.10692485792464745</v>
      </c>
      <c r="F6" s="2">
        <f t="shared" si="3"/>
        <v>2.7257240204429302E-2</v>
      </c>
      <c r="G6" s="3"/>
      <c r="H6" s="3"/>
      <c r="I6" s="3"/>
    </row>
    <row r="8" spans="1:9" x14ac:dyDescent="0.25">
      <c r="A8" s="4"/>
    </row>
  </sheetData>
  <pageMargins left="0.7" right="0.7" top="0.75" bottom="0.75" header="0.3" footer="0.3"/>
  <pageSetup paperSize="9" scale="86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4AA8-12C7-4319-9B49-28A70506678C}">
  <sheetPr codeName="Taul32">
    <pageSetUpPr fitToPage="1"/>
  </sheetPr>
  <dimension ref="A1:I7"/>
  <sheetViews>
    <sheetView workbookViewId="0">
      <selection activeCell="F4" sqref="F4"/>
    </sheetView>
  </sheetViews>
  <sheetFormatPr defaultRowHeight="15" x14ac:dyDescent="0.25"/>
  <cols>
    <col min="1" max="1" width="8.28515625" bestFit="1" customWidth="1"/>
    <col min="2" max="3" width="8.85546875" bestFit="1" customWidth="1"/>
    <col min="4" max="4" width="11.140625" style="1" bestFit="1" customWidth="1"/>
    <col min="5" max="5" width="9.42578125" customWidth="1"/>
    <col min="6" max="6" width="20" bestFit="1" customWidth="1"/>
    <col min="7" max="9" width="10.42578125" bestFit="1" customWidth="1"/>
  </cols>
  <sheetData>
    <row r="1" spans="1:9" ht="15.75" thickBot="1" x14ac:dyDescent="0.3">
      <c r="A1" s="4" t="s">
        <v>133</v>
      </c>
      <c r="B1" s="4"/>
      <c r="C1" s="4"/>
      <c r="E1" s="4"/>
      <c r="F1" s="18" t="s">
        <v>122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s="12" t="s">
        <v>70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f>7192+13507+18120</f>
        <v>38819</v>
      </c>
      <c r="C4" s="13">
        <v>22103</v>
      </c>
      <c r="D4" s="13">
        <f>26044+30040+35082</f>
        <v>91166</v>
      </c>
      <c r="E4" s="25">
        <f>F4-D4</f>
        <v>38025</v>
      </c>
      <c r="F4" s="13">
        <f>D4+38025</f>
        <v>129191</v>
      </c>
      <c r="G4" s="3">
        <f>D4/B4-1</f>
        <v>1.3484891419150418</v>
      </c>
      <c r="H4" s="3">
        <f>E4/C4-1</f>
        <v>0.72035470298149562</v>
      </c>
      <c r="I4" s="3">
        <f>(D4+E4)/(B4+C4)-1</f>
        <v>1.1205968287318209</v>
      </c>
    </row>
    <row r="5" spans="1:9" x14ac:dyDescent="0.25">
      <c r="A5" t="s">
        <v>80</v>
      </c>
      <c r="B5" s="13">
        <f>3052+7776+11557</f>
        <v>22385</v>
      </c>
      <c r="C5" s="13">
        <v>14749</v>
      </c>
      <c r="D5" s="13">
        <f>18059+19937+23276</f>
        <v>61272</v>
      </c>
      <c r="E5" s="25">
        <f>F5-D5</f>
        <v>24500</v>
      </c>
      <c r="F5" s="13">
        <f>D5+24500</f>
        <v>85772</v>
      </c>
      <c r="G5" s="3">
        <f t="shared" ref="G5" si="0">D5/B5-1</f>
        <v>1.737190082644628</v>
      </c>
      <c r="H5" s="3">
        <f t="shared" ref="H5" si="1">E5/C5-1</f>
        <v>0.66112956810631229</v>
      </c>
      <c r="I5" s="3">
        <f t="shared" ref="I5" si="2">(D5+E5)/(B5+C5)-1</f>
        <v>1.3097969515807617</v>
      </c>
    </row>
    <row r="6" spans="1:9" x14ac:dyDescent="0.25">
      <c r="A6" t="s">
        <v>72</v>
      </c>
      <c r="B6" s="11">
        <f>B5/B4</f>
        <v>0.57665060923774436</v>
      </c>
      <c r="C6" s="11">
        <f>C5/C4</f>
        <v>0.66728498393883184</v>
      </c>
      <c r="D6" s="11">
        <f t="shared" ref="D6:F6" si="3">D5/D4</f>
        <v>0.6720926661255292</v>
      </c>
      <c r="E6" s="26">
        <f t="shared" si="3"/>
        <v>0.64431295200525973</v>
      </c>
      <c r="F6" s="2">
        <f t="shared" si="3"/>
        <v>0.66391621707394477</v>
      </c>
      <c r="G6" s="3"/>
      <c r="H6" s="3"/>
      <c r="I6" s="3"/>
    </row>
    <row r="7" spans="1:9" x14ac:dyDescent="0.25">
      <c r="D7" s="20" t="s">
        <v>109</v>
      </c>
    </row>
  </sheetData>
  <pageMargins left="0.7" right="0.7" top="0.75" bottom="0.75" header="0.3" footer="0.3"/>
  <pageSetup paperSize="9" scale="97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9E969-D718-461B-BCD5-FF838920BAE9}">
  <sheetPr codeName="Taul4">
    <tabColor rgb="FFFFFF00"/>
    <pageSetUpPr fitToPage="1"/>
  </sheetPr>
  <dimension ref="A1:I8"/>
  <sheetViews>
    <sheetView workbookViewId="0">
      <selection activeCell="F5" sqref="F5"/>
    </sheetView>
  </sheetViews>
  <sheetFormatPr defaultRowHeight="15" x14ac:dyDescent="0.25"/>
  <cols>
    <col min="1" max="1" width="8.28515625" bestFit="1" customWidth="1"/>
    <col min="2" max="3" width="6.85546875" bestFit="1" customWidth="1"/>
    <col min="4" max="4" width="7.42578125" style="1" bestFit="1" customWidth="1"/>
    <col min="5" max="5" width="9.42578125" customWidth="1"/>
    <col min="6" max="6" width="36.5703125" bestFit="1" customWidth="1"/>
    <col min="7" max="9" width="10.42578125" bestFit="1" customWidth="1"/>
  </cols>
  <sheetData>
    <row r="1" spans="1:9" ht="15.75" thickBot="1" x14ac:dyDescent="0.3">
      <c r="A1" s="4" t="s">
        <v>106</v>
      </c>
      <c r="B1" s="4"/>
      <c r="C1" s="4"/>
      <c r="E1" s="4"/>
      <c r="F1" s="18" t="s">
        <v>135</v>
      </c>
      <c r="G1" s="48"/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4">
        <v>869</v>
      </c>
      <c r="C4" s="14">
        <f>1190-B4</f>
        <v>321</v>
      </c>
      <c r="D4" s="13">
        <v>1108</v>
      </c>
      <c r="E4" s="25">
        <f>F4-D4</f>
        <v>434</v>
      </c>
      <c r="F4" s="13">
        <v>1542</v>
      </c>
      <c r="G4" s="3">
        <f>D4/B4-1</f>
        <v>0.27502876869965487</v>
      </c>
      <c r="H4" s="3">
        <f>E4/C4-1</f>
        <v>0.35202492211837999</v>
      </c>
      <c r="I4" s="3">
        <f>(D4+E4)/(B4+C4)-1</f>
        <v>0.29579831932773115</v>
      </c>
    </row>
    <row r="5" spans="1:9" x14ac:dyDescent="0.25">
      <c r="A5" t="s">
        <v>80</v>
      </c>
      <c r="B5" s="14">
        <v>192</v>
      </c>
      <c r="C5" s="14">
        <f>275-182</f>
        <v>93</v>
      </c>
      <c r="D5" s="13">
        <v>324</v>
      </c>
      <c r="E5" s="25">
        <f>F5-D5</f>
        <v>93</v>
      </c>
      <c r="F5" s="15">
        <v>417</v>
      </c>
      <c r="G5" s="3">
        <f t="shared" ref="G5" si="0">D5/B5-1</f>
        <v>0.6875</v>
      </c>
      <c r="H5" s="3">
        <f t="shared" ref="H5" si="1">E5/C5-1</f>
        <v>0</v>
      </c>
      <c r="I5" s="3">
        <f t="shared" ref="I5" si="2">(D5+E5)/(B5+C5)-1</f>
        <v>0.46315789473684221</v>
      </c>
    </row>
    <row r="6" spans="1:9" x14ac:dyDescent="0.25">
      <c r="A6" t="s">
        <v>72</v>
      </c>
      <c r="B6" s="2">
        <f>B5/B4</f>
        <v>0.22094361334867663</v>
      </c>
      <c r="C6" s="2">
        <f>C5/C4</f>
        <v>0.28971962616822428</v>
      </c>
      <c r="D6" s="2">
        <f t="shared" ref="D6:F6" si="3">D5/D4</f>
        <v>0.29241877256317689</v>
      </c>
      <c r="E6" s="26">
        <f t="shared" si="3"/>
        <v>0.21428571428571427</v>
      </c>
      <c r="F6" s="2">
        <f t="shared" si="3"/>
        <v>0.27042801556420232</v>
      </c>
      <c r="G6" s="3"/>
      <c r="H6" s="3"/>
      <c r="I6" s="3"/>
    </row>
    <row r="8" spans="1:9" x14ac:dyDescent="0.25">
      <c r="A8" s="4"/>
    </row>
  </sheetData>
  <pageMargins left="0.7" right="0.7" top="0.75" bottom="0.75" header="0.3" footer="0.3"/>
  <pageSetup paperSize="9" scale="86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4E4D7-F9C7-45A3-9C73-2B1F18E53A53}">
  <sheetPr codeName="Taul21">
    <tabColor rgb="FFFFFF00"/>
    <pageSetUpPr fitToPage="1"/>
  </sheetPr>
  <dimension ref="A1:I7"/>
  <sheetViews>
    <sheetView workbookViewId="0">
      <selection activeCell="F5" sqref="F5"/>
    </sheetView>
  </sheetViews>
  <sheetFormatPr defaultRowHeight="15" x14ac:dyDescent="0.25"/>
  <cols>
    <col min="1" max="1" width="14.140625" bestFit="1" customWidth="1"/>
    <col min="2" max="3" width="6.85546875" bestFit="1" customWidth="1"/>
    <col min="4" max="4" width="9.7109375" style="1" bestFit="1" customWidth="1"/>
    <col min="5" max="5" width="9.42578125" customWidth="1"/>
    <col min="6" max="6" width="18.28515625" bestFit="1" customWidth="1"/>
    <col min="7" max="9" width="10.42578125" bestFit="1" customWidth="1"/>
  </cols>
  <sheetData>
    <row r="1" spans="1:9" ht="15.75" thickBot="1" x14ac:dyDescent="0.3">
      <c r="A1" s="4" t="s">
        <v>107</v>
      </c>
      <c r="B1" s="4"/>
      <c r="C1" s="4"/>
      <c r="E1" s="4"/>
      <c r="F1" s="18" t="s">
        <v>74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v>261.60000000000002</v>
      </c>
      <c r="C4" s="13">
        <f>338.4-B4</f>
        <v>76.799999999999955</v>
      </c>
      <c r="D4" s="13">
        <v>297.60000000000002</v>
      </c>
      <c r="E4" s="25">
        <f>F4-D4</f>
        <v>92.399999999999977</v>
      </c>
      <c r="F4" s="13">
        <v>390</v>
      </c>
      <c r="G4" s="3">
        <f>D4/B4-1</f>
        <v>0.13761467889908263</v>
      </c>
      <c r="H4" s="3">
        <f>E4/C4-1</f>
        <v>0.20312500000000044</v>
      </c>
      <c r="I4" s="3">
        <f>(D4+E4)/(B4+C4)-1</f>
        <v>0.15248226950354615</v>
      </c>
    </row>
    <row r="5" spans="1:9" x14ac:dyDescent="0.25">
      <c r="A5" t="s">
        <v>108</v>
      </c>
      <c r="B5" s="13">
        <v>43.4</v>
      </c>
      <c r="C5" s="13">
        <f>54.1-B5</f>
        <v>10.700000000000003</v>
      </c>
      <c r="D5" s="13">
        <v>52.7</v>
      </c>
      <c r="E5" s="25">
        <f>F5-D5</f>
        <v>10.299999999999997</v>
      </c>
      <c r="F5" s="13">
        <v>63</v>
      </c>
      <c r="G5" s="3">
        <f t="shared" ref="G5" si="0">D5/B5-1</f>
        <v>0.21428571428571441</v>
      </c>
      <c r="H5" s="3">
        <f t="shared" ref="H5" si="1">E5/C5-1</f>
        <v>-3.7383177570094017E-2</v>
      </c>
      <c r="I5" s="3">
        <f t="shared" ref="I5" si="2">(D5+E5)/(B5+C5)-1</f>
        <v>0.16451016635859506</v>
      </c>
    </row>
    <row r="6" spans="1:9" x14ac:dyDescent="0.25">
      <c r="A6" t="s">
        <v>150</v>
      </c>
      <c r="B6" s="11">
        <f>B5/B4</f>
        <v>0.16590214067278286</v>
      </c>
      <c r="C6" s="11">
        <f>C5/C4</f>
        <v>0.1393229166666668</v>
      </c>
      <c r="D6" s="11">
        <f t="shared" ref="D6:F6" si="3">D5/D4</f>
        <v>0.17708333333333334</v>
      </c>
      <c r="E6" s="26">
        <f t="shared" si="3"/>
        <v>0.11147186147186147</v>
      </c>
      <c r="F6" s="2">
        <f t="shared" si="3"/>
        <v>0.16153846153846155</v>
      </c>
      <c r="G6" s="3"/>
      <c r="H6" s="3"/>
      <c r="I6" s="3"/>
    </row>
    <row r="7" spans="1:9" x14ac:dyDescent="0.25">
      <c r="D7" s="16" t="s">
        <v>109</v>
      </c>
    </row>
  </sheetData>
  <pageMargins left="0.7" right="0.7" top="0.75" bottom="0.75" header="0.3" footer="0.3"/>
  <pageSetup paperSize="9" scale="9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AFDB-F669-4ADD-816E-E4481AF1F25D}">
  <sheetPr codeName="Taul44">
    <tabColor rgb="FFFFFF00"/>
    <pageSetUpPr fitToPage="1"/>
  </sheetPr>
  <dimension ref="A1:I6"/>
  <sheetViews>
    <sheetView workbookViewId="0">
      <selection activeCell="F1" sqref="F1"/>
    </sheetView>
  </sheetViews>
  <sheetFormatPr defaultRowHeight="15" x14ac:dyDescent="0.25"/>
  <cols>
    <col min="1" max="1" width="8.28515625" bestFit="1" customWidth="1"/>
    <col min="2" max="2" width="6.5703125" bestFit="1" customWidth="1"/>
    <col min="3" max="3" width="7.28515625" bestFit="1" customWidth="1"/>
    <col min="4" max="4" width="7.140625" style="1" bestFit="1" customWidth="1"/>
    <col min="5" max="5" width="9.42578125" customWidth="1"/>
    <col min="6" max="6" width="18.28515625" bestFit="1" customWidth="1"/>
    <col min="7" max="9" width="10.42578125" bestFit="1" customWidth="1"/>
  </cols>
  <sheetData>
    <row r="1" spans="1:9" ht="15.75" thickBot="1" x14ac:dyDescent="0.3">
      <c r="A1" s="4" t="s">
        <v>138</v>
      </c>
      <c r="B1" s="4"/>
      <c r="C1" s="4"/>
      <c r="E1" s="4"/>
      <c r="F1" s="18" t="s">
        <v>115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4">
        <v>121.5</v>
      </c>
      <c r="C4" s="14">
        <f>180.7-B4</f>
        <v>59.199999999999989</v>
      </c>
      <c r="D4" s="13">
        <v>140.6</v>
      </c>
      <c r="E4" s="25">
        <f>F4-D4</f>
        <v>80.757500000000022</v>
      </c>
      <c r="F4" s="13">
        <f>180.7*1.225</f>
        <v>221.35750000000002</v>
      </c>
      <c r="G4" s="3">
        <f>D4/B4-1</f>
        <v>0.157201646090535</v>
      </c>
      <c r="H4" s="3">
        <f>E4/C4-1</f>
        <v>0.36414695945946018</v>
      </c>
      <c r="I4" s="3">
        <f>(D4+E4)/(B4+C4)-1</f>
        <v>0.22500000000000009</v>
      </c>
    </row>
    <row r="5" spans="1:9" x14ac:dyDescent="0.25">
      <c r="A5" t="s">
        <v>80</v>
      </c>
      <c r="B5" s="14">
        <v>23.4</v>
      </c>
      <c r="C5" s="14">
        <f>47.4-B5</f>
        <v>24</v>
      </c>
      <c r="D5" s="13">
        <v>33.799999999999997</v>
      </c>
      <c r="E5" s="25">
        <f>F5-D5</f>
        <v>27.82</v>
      </c>
      <c r="F5" s="13">
        <f>47.4*1.3</f>
        <v>61.62</v>
      </c>
      <c r="G5" s="3">
        <f t="shared" ref="G5:H5" si="0">D5/B5-1</f>
        <v>0.44444444444444442</v>
      </c>
      <c r="H5" s="3">
        <f t="shared" si="0"/>
        <v>0.15916666666666668</v>
      </c>
      <c r="I5" s="3">
        <f t="shared" ref="I5" si="1">(D5+E5)/(B5+C5)-1</f>
        <v>0.30000000000000004</v>
      </c>
    </row>
    <row r="6" spans="1:9" x14ac:dyDescent="0.25">
      <c r="A6" t="s">
        <v>72</v>
      </c>
      <c r="B6" s="2">
        <f>B5/B4</f>
        <v>0.19259259259259259</v>
      </c>
      <c r="C6" s="2">
        <f>C5/C4</f>
        <v>0.40540540540540548</v>
      </c>
      <c r="D6" s="2">
        <f t="shared" ref="D6:F6" si="2">D5/D4</f>
        <v>0.24039829302987198</v>
      </c>
      <c r="E6" s="26">
        <f t="shared" si="2"/>
        <v>0.34448812803764345</v>
      </c>
      <c r="F6" s="2">
        <f t="shared" si="2"/>
        <v>0.27837321979151369</v>
      </c>
      <c r="G6" s="3"/>
      <c r="H6" s="3"/>
      <c r="I6" s="3"/>
    </row>
  </sheetData>
  <pageMargins left="0.7" right="0.7" top="0.75" bottom="0.75" header="0.3" footer="0.3"/>
  <pageSetup paperSize="9" scale="92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E969C-D586-40B2-AFDB-C16CE88F2451}">
  <sheetPr codeName="Taul41">
    <tabColor rgb="FFFFFF00"/>
    <pageSetUpPr fitToPage="1"/>
  </sheetPr>
  <dimension ref="A1:I6"/>
  <sheetViews>
    <sheetView workbookViewId="0"/>
  </sheetViews>
  <sheetFormatPr defaultRowHeight="15" x14ac:dyDescent="0.25"/>
  <cols>
    <col min="1" max="1" width="8.28515625" bestFit="1" customWidth="1"/>
    <col min="2" max="2" width="6.5703125" bestFit="1" customWidth="1"/>
    <col min="3" max="3" width="7.28515625" bestFit="1" customWidth="1"/>
    <col min="4" max="4" width="7.140625" style="1" bestFit="1" customWidth="1"/>
    <col min="5" max="5" width="9.42578125" customWidth="1"/>
    <col min="6" max="6" width="18.28515625" bestFit="1" customWidth="1"/>
    <col min="7" max="9" width="10.42578125" bestFit="1" customWidth="1"/>
  </cols>
  <sheetData>
    <row r="1" spans="1:9" ht="15.75" thickBot="1" x14ac:dyDescent="0.3">
      <c r="A1" s="4" t="s">
        <v>138</v>
      </c>
      <c r="B1" s="4"/>
      <c r="C1" s="4"/>
      <c r="E1" s="4"/>
      <c r="F1" s="18" t="s">
        <v>61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4">
        <v>121.5</v>
      </c>
      <c r="C4" s="14">
        <f>180.7-B4</f>
        <v>59.199999999999989</v>
      </c>
      <c r="D4" s="13">
        <v>140.6</v>
      </c>
      <c r="E4" s="25">
        <f>F4-D4</f>
        <v>68.400000000000006</v>
      </c>
      <c r="F4" s="13">
        <v>209</v>
      </c>
      <c r="G4" s="3">
        <f>D4/B4-1</f>
        <v>0.157201646090535</v>
      </c>
      <c r="H4" s="3">
        <f>E4/C4-1</f>
        <v>0.15540540540540571</v>
      </c>
      <c r="I4" s="3">
        <f>(D4+E4)/(B4+C4)-1</f>
        <v>0.15661317100166028</v>
      </c>
    </row>
    <row r="5" spans="1:9" x14ac:dyDescent="0.25">
      <c r="A5" t="s">
        <v>80</v>
      </c>
      <c r="B5" s="14">
        <v>23.4</v>
      </c>
      <c r="C5" s="14">
        <f>47.4-B5</f>
        <v>24</v>
      </c>
      <c r="D5" s="13">
        <v>33.799999999999997</v>
      </c>
      <c r="E5" s="25">
        <f>F5-D5</f>
        <v>37.260000000000005</v>
      </c>
      <c r="F5" s="13">
        <f>F6*F4</f>
        <v>71.06</v>
      </c>
      <c r="G5" s="3">
        <f t="shared" ref="G5" si="0">D5/B5-1</f>
        <v>0.44444444444444442</v>
      </c>
      <c r="H5" s="3">
        <f t="shared" ref="H5" si="1">E5/C5-1</f>
        <v>0.55250000000000021</v>
      </c>
      <c r="I5" s="3">
        <f t="shared" ref="I5" si="2">(D5+E5)/(B5+C5)-1</f>
        <v>0.49915611814346006</v>
      </c>
    </row>
    <row r="6" spans="1:9" x14ac:dyDescent="0.25">
      <c r="A6" t="s">
        <v>72</v>
      </c>
      <c r="B6" s="2">
        <f>B5/B4</f>
        <v>0.19259259259259259</v>
      </c>
      <c r="C6" s="2">
        <f>C5/C4</f>
        <v>0.40540540540540548</v>
      </c>
      <c r="D6" s="2">
        <f t="shared" ref="D6:E6" si="3">D5/D4</f>
        <v>0.24039829302987198</v>
      </c>
      <c r="E6" s="26">
        <f t="shared" si="3"/>
        <v>0.54473684210526319</v>
      </c>
      <c r="F6" s="2">
        <v>0.34</v>
      </c>
      <c r="G6" s="3"/>
      <c r="H6" s="3"/>
      <c r="I6" s="3"/>
    </row>
  </sheetData>
  <pageMargins left="0.7" right="0.7" top="0.75" bottom="0.75" header="0.3" footer="0.3"/>
  <pageSetup paperSize="9" scale="92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81F7F-6A6E-4F45-8356-658E0D3E22CC}">
  <sheetPr codeName="Taul2">
    <tabColor rgb="FFFFFF00"/>
    <pageSetUpPr fitToPage="1"/>
  </sheetPr>
  <dimension ref="A1:I6"/>
  <sheetViews>
    <sheetView workbookViewId="0">
      <selection activeCell="G4" sqref="G4"/>
    </sheetView>
  </sheetViews>
  <sheetFormatPr defaultRowHeight="15" x14ac:dyDescent="0.25"/>
  <cols>
    <col min="1" max="1" width="18" bestFit="1" customWidth="1"/>
    <col min="2" max="2" width="6" bestFit="1" customWidth="1"/>
    <col min="3" max="3" width="5.7109375" bestFit="1" customWidth="1"/>
    <col min="4" max="4" width="7.140625" style="1" bestFit="1" customWidth="1"/>
    <col min="5" max="5" width="9.42578125" customWidth="1"/>
    <col min="6" max="6" width="18.28515625" bestFit="1" customWidth="1"/>
    <col min="7" max="9" width="10.42578125" bestFit="1" customWidth="1"/>
  </cols>
  <sheetData>
    <row r="1" spans="1:9" ht="15.75" thickBot="1" x14ac:dyDescent="0.3">
      <c r="A1" s="4" t="s">
        <v>110</v>
      </c>
      <c r="B1" s="4"/>
      <c r="C1" s="4"/>
      <c r="E1" s="4"/>
      <c r="F1" s="18" t="s">
        <v>85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4">
        <v>100.2</v>
      </c>
      <c r="C4" s="14">
        <v>45.2</v>
      </c>
      <c r="D4" s="13">
        <v>148.1</v>
      </c>
      <c r="E4" s="25">
        <f>F4-D4</f>
        <v>51.900000000000006</v>
      </c>
      <c r="F4" s="13">
        <v>200</v>
      </c>
      <c r="G4" s="3">
        <f>D4/B4-1</f>
        <v>0.47804391217564857</v>
      </c>
      <c r="H4" s="3">
        <f>E4/C4-1</f>
        <v>0.14823008849557517</v>
      </c>
      <c r="I4" s="3">
        <f>(D4+E4)/(B4+C4)-1</f>
        <v>0.37551581843191184</v>
      </c>
    </row>
    <row r="5" spans="1:9" x14ac:dyDescent="0.25">
      <c r="A5" t="s">
        <v>111</v>
      </c>
      <c r="B5" s="14">
        <v>6.6</v>
      </c>
      <c r="C5" s="14">
        <f>9.3-B5</f>
        <v>2.7000000000000011</v>
      </c>
      <c r="D5" s="13">
        <v>14.7</v>
      </c>
      <c r="E5" s="25">
        <f>F5-D5</f>
        <v>4.3000000000000007</v>
      </c>
      <c r="F5" s="13">
        <v>19</v>
      </c>
      <c r="G5" s="3">
        <f t="shared" ref="G5" si="0">D5/B5-1</f>
        <v>1.2272727272727271</v>
      </c>
      <c r="H5" s="3">
        <f t="shared" ref="H5" si="1">E5/C5-1</f>
        <v>0.59259259259259234</v>
      </c>
      <c r="I5" s="3">
        <f t="shared" ref="I5" si="2">(D5+E5)/(B5+C5)-1</f>
        <v>1.043010752688172</v>
      </c>
    </row>
    <row r="6" spans="1:9" x14ac:dyDescent="0.25">
      <c r="A6" t="s">
        <v>112</v>
      </c>
      <c r="B6" s="2">
        <f>B5/B4</f>
        <v>6.5868263473053884E-2</v>
      </c>
      <c r="C6" s="2">
        <f>C5/C4</f>
        <v>5.97345132743363E-2</v>
      </c>
      <c r="D6" s="2">
        <f t="shared" ref="D6:F6" si="3">D5/D4</f>
        <v>9.9257258609047938E-2</v>
      </c>
      <c r="E6" s="26">
        <f t="shared" si="3"/>
        <v>8.2851637764932567E-2</v>
      </c>
      <c r="F6" s="2">
        <f t="shared" si="3"/>
        <v>9.5000000000000001E-2</v>
      </c>
      <c r="G6" s="3"/>
      <c r="H6" s="3"/>
      <c r="I6" s="3"/>
    </row>
  </sheetData>
  <pageMargins left="0.7" right="0.7" top="0.75" bottom="0.75" header="0.3" footer="0.3"/>
  <pageSetup paperSize="9" scale="92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52E70-3F16-4B71-B43F-1B2467492BCE}">
  <sheetPr codeName="Taul36">
    <tabColor rgb="FFFFFF00"/>
    <pageSetUpPr fitToPage="1"/>
  </sheetPr>
  <dimension ref="A1:I7"/>
  <sheetViews>
    <sheetView workbookViewId="0"/>
  </sheetViews>
  <sheetFormatPr defaultRowHeight="15" x14ac:dyDescent="0.25"/>
  <cols>
    <col min="1" max="1" width="12.85546875" bestFit="1" customWidth="1"/>
    <col min="2" max="3" width="7.7109375" bestFit="1" customWidth="1"/>
    <col min="4" max="4" width="7.7109375" style="1" bestFit="1" customWidth="1"/>
    <col min="5" max="5" width="9.42578125" customWidth="1"/>
    <col min="6" max="6" width="20.85546875" bestFit="1" customWidth="1"/>
    <col min="7" max="9" width="10.42578125" bestFit="1" customWidth="1"/>
  </cols>
  <sheetData>
    <row r="1" spans="1:9" ht="15.75" thickBot="1" x14ac:dyDescent="0.3">
      <c r="A1" s="4" t="s">
        <v>113</v>
      </c>
      <c r="B1" s="4"/>
      <c r="C1" s="4"/>
      <c r="E1" s="4"/>
      <c r="F1" s="18" t="s">
        <v>61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v>67.400000000000006</v>
      </c>
      <c r="C4" s="13">
        <v>29.2</v>
      </c>
      <c r="D4" s="13">
        <v>73</v>
      </c>
      <c r="E4" s="25">
        <f>F4-D4</f>
        <v>32.293999999999997</v>
      </c>
      <c r="F4" s="13">
        <f>96.6*1.09</f>
        <v>105.294</v>
      </c>
      <c r="G4" s="3">
        <f>D4/B4-1</f>
        <v>8.308605341246289E-2</v>
      </c>
      <c r="H4" s="3">
        <f>E4/C4-1</f>
        <v>0.10595890410958897</v>
      </c>
      <c r="I4" s="3">
        <f>(D4+E4)/(B4+C4)-1</f>
        <v>8.9999999999999858E-2</v>
      </c>
    </row>
    <row r="5" spans="1:9" x14ac:dyDescent="0.25">
      <c r="A5" t="s">
        <v>66</v>
      </c>
      <c r="B5" s="13">
        <v>19.8</v>
      </c>
      <c r="C5" s="13">
        <f>26.3+3.9-B5</f>
        <v>10.399999999999999</v>
      </c>
      <c r="D5" s="13">
        <v>20</v>
      </c>
      <c r="E5" s="25">
        <f>F5-D5</f>
        <v>10.008789999999998</v>
      </c>
      <c r="F5" s="13">
        <f>F6*F4</f>
        <v>30.008789999999998</v>
      </c>
      <c r="G5" s="3">
        <f t="shared" ref="G5" si="0">D5/B5-1</f>
        <v>1.0101010101010166E-2</v>
      </c>
      <c r="H5" s="3">
        <f t="shared" ref="H5" si="1">E5/C5-1</f>
        <v>-3.7616346153846236E-2</v>
      </c>
      <c r="I5" s="3">
        <f t="shared" ref="I5" si="2">(D5+E5)/(B5+C5)-1</f>
        <v>-6.3314569536424559E-3</v>
      </c>
    </row>
    <row r="6" spans="1:9" x14ac:dyDescent="0.25">
      <c r="A6" t="s">
        <v>67</v>
      </c>
      <c r="B6" s="11">
        <f>B5/B4</f>
        <v>0.29376854599406527</v>
      </c>
      <c r="C6" s="11">
        <f>C5/C4</f>
        <v>0.35616438356164382</v>
      </c>
      <c r="D6" s="11">
        <f t="shared" ref="D6:E6" si="3">D5/D4</f>
        <v>0.27397260273972601</v>
      </c>
      <c r="E6" s="26">
        <f t="shared" si="3"/>
        <v>0.30992723106459402</v>
      </c>
      <c r="F6" s="2">
        <v>0.28499999999999998</v>
      </c>
      <c r="G6" s="3"/>
      <c r="H6" s="3"/>
      <c r="I6" s="3"/>
    </row>
    <row r="7" spans="1:9" x14ac:dyDescent="0.25">
      <c r="E7" s="16"/>
    </row>
  </sheetData>
  <pageMargins left="0.7" right="0.7" top="0.75" bottom="0.75" header="0.3" footer="0.3"/>
  <pageSetup paperSize="9" scale="97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6365B-3D7A-4910-8E74-6EABDDF4EFBD}">
  <sheetPr codeName="Taul37">
    <tabColor rgb="FFFFFF00"/>
    <pageSetUpPr fitToPage="1"/>
  </sheetPr>
  <dimension ref="A1:I6"/>
  <sheetViews>
    <sheetView workbookViewId="0"/>
  </sheetViews>
  <sheetFormatPr defaultRowHeight="15" x14ac:dyDescent="0.25"/>
  <cols>
    <col min="1" max="1" width="16" bestFit="1" customWidth="1"/>
    <col min="2" max="3" width="6" bestFit="1" customWidth="1"/>
    <col min="4" max="4" width="7.140625" style="1" bestFit="1" customWidth="1"/>
    <col min="5" max="5" width="9.42578125" customWidth="1"/>
    <col min="6" max="6" width="20.85546875" bestFit="1" customWidth="1"/>
    <col min="7" max="9" width="10.42578125" bestFit="1" customWidth="1"/>
  </cols>
  <sheetData>
    <row r="1" spans="1:9" ht="15.75" thickBot="1" x14ac:dyDescent="0.3">
      <c r="A1" s="4" t="s">
        <v>114</v>
      </c>
      <c r="B1" s="4"/>
      <c r="C1" s="4"/>
      <c r="E1" s="4"/>
      <c r="F1" s="18" t="s">
        <v>61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4">
        <f>225+243</f>
        <v>468</v>
      </c>
      <c r="C4" s="14">
        <v>221</v>
      </c>
      <c r="D4" s="13">
        <v>567.70000000000005</v>
      </c>
      <c r="E4" s="25">
        <f>F4-D4</f>
        <v>207.29999999999995</v>
      </c>
      <c r="F4" s="13">
        <v>775</v>
      </c>
      <c r="G4" s="3">
        <f>D4/B4-1</f>
        <v>0.21303418803418817</v>
      </c>
      <c r="H4" s="3">
        <f>E4/C4-1</f>
        <v>-6.1990950226244568E-2</v>
      </c>
      <c r="I4" s="3">
        <f>(D4+E4)/(B4+C4)-1</f>
        <v>0.12481857764876625</v>
      </c>
    </row>
    <row r="5" spans="1:9" x14ac:dyDescent="0.25">
      <c r="A5" t="s">
        <v>95</v>
      </c>
      <c r="B5" s="14">
        <f>15.1+17.5</f>
        <v>32.6</v>
      </c>
      <c r="C5" s="14">
        <v>13.4</v>
      </c>
      <c r="D5" s="13">
        <v>39.1</v>
      </c>
      <c r="E5" s="25">
        <f>F5-D5</f>
        <v>14.399999999999999</v>
      </c>
      <c r="F5" s="13">
        <v>53.5</v>
      </c>
      <c r="G5" s="3">
        <f t="shared" ref="G5" si="0">D5/B5-1</f>
        <v>0.19938650306748462</v>
      </c>
      <c r="H5" s="3">
        <f t="shared" ref="H5" si="1">E5/C5-1</f>
        <v>7.4626865671641562E-2</v>
      </c>
      <c r="I5" s="3">
        <f t="shared" ref="I5" si="2">(D5+E5)/(B5+C5)-1</f>
        <v>0.16304347826086962</v>
      </c>
    </row>
    <row r="6" spans="1:9" x14ac:dyDescent="0.25">
      <c r="A6" t="s">
        <v>72</v>
      </c>
      <c r="B6" s="2">
        <f>B5/B4</f>
        <v>6.965811965811966E-2</v>
      </c>
      <c r="C6" s="2">
        <f>C5/C4</f>
        <v>6.0633484162895927E-2</v>
      </c>
      <c r="D6" s="2">
        <f t="shared" ref="D6:F6" si="3">D5/D4</f>
        <v>6.8874405495860491E-2</v>
      </c>
      <c r="E6" s="26">
        <f t="shared" si="3"/>
        <v>6.9464544138929094E-2</v>
      </c>
      <c r="F6" s="2">
        <f t="shared" si="3"/>
        <v>6.9032258064516128E-2</v>
      </c>
      <c r="G6" s="3"/>
      <c r="H6" s="3"/>
      <c r="I6" s="3"/>
    </row>
  </sheetData>
  <pageMargins left="0.7" right="0.7" top="0.75" bottom="0.75" header="0.3" footer="0.3"/>
  <pageSetup paperSize="9" scale="98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40D7E-BF10-4E1E-919E-68FCA420A94E}">
  <sheetPr codeName="Taul1">
    <tabColor rgb="FFFFFF00"/>
    <pageSetUpPr fitToPage="1"/>
  </sheetPr>
  <dimension ref="A1:I6"/>
  <sheetViews>
    <sheetView workbookViewId="0">
      <selection activeCell="G4" sqref="G4"/>
    </sheetView>
  </sheetViews>
  <sheetFormatPr defaultRowHeight="15" x14ac:dyDescent="0.25"/>
  <cols>
    <col min="1" max="1" width="16" bestFit="1" customWidth="1"/>
    <col min="2" max="3" width="5.7109375" bestFit="1" customWidth="1"/>
    <col min="4" max="4" width="7.140625" style="1" bestFit="1" customWidth="1"/>
    <col min="5" max="5" width="9.42578125" customWidth="1"/>
    <col min="6" max="6" width="20.85546875" bestFit="1" customWidth="1"/>
    <col min="7" max="9" width="10.42578125" bestFit="1" customWidth="1"/>
  </cols>
  <sheetData>
    <row r="1" spans="1:9" ht="15.75" thickBot="1" x14ac:dyDescent="0.3">
      <c r="A1" s="4" t="s">
        <v>116</v>
      </c>
      <c r="B1" s="4"/>
      <c r="C1" s="4"/>
      <c r="E1" s="4"/>
      <c r="F1" s="18" t="s">
        <v>61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4">
        <f>122.7-57.4</f>
        <v>65.300000000000011</v>
      </c>
      <c r="C4" s="14">
        <f>(28.7+28.7)/2</f>
        <v>28.7</v>
      </c>
      <c r="D4" s="13">
        <v>83.3</v>
      </c>
      <c r="E4" s="25">
        <f>F4-D4</f>
        <v>27.700000000000003</v>
      </c>
      <c r="F4" s="13">
        <v>111</v>
      </c>
      <c r="G4" s="3">
        <f>D4/B4-1</f>
        <v>0.2756508422664623</v>
      </c>
      <c r="H4" s="3">
        <f>E4/C4-1</f>
        <v>-3.4843205574912717E-2</v>
      </c>
      <c r="I4" s="3">
        <f>(D4+E4)/(B4+C4)-1</f>
        <v>0.18085106382978711</v>
      </c>
    </row>
    <row r="5" spans="1:9" x14ac:dyDescent="0.25">
      <c r="A5" t="s">
        <v>95</v>
      </c>
      <c r="B5" s="14">
        <f>6.7-2.8</f>
        <v>3.9000000000000004</v>
      </c>
      <c r="C5" s="14">
        <f>(1.4+1.4)/2</f>
        <v>1.4</v>
      </c>
      <c r="D5" s="13">
        <v>4</v>
      </c>
      <c r="E5" s="25">
        <f>F5-D5</f>
        <v>1.5</v>
      </c>
      <c r="F5" s="13">
        <v>5.5</v>
      </c>
      <c r="G5" s="3">
        <f t="shared" ref="G5" si="0">D5/B5-1</f>
        <v>2.564102564102555E-2</v>
      </c>
      <c r="H5" s="3">
        <f t="shared" ref="H5" si="1">E5/C5-1</f>
        <v>7.1428571428571397E-2</v>
      </c>
      <c r="I5" s="3">
        <f t="shared" ref="I5" si="2">(D5+E5)/(B5+C5)-1</f>
        <v>3.7735849056603543E-2</v>
      </c>
    </row>
    <row r="6" spans="1:9" x14ac:dyDescent="0.25">
      <c r="A6" t="s">
        <v>72</v>
      </c>
      <c r="B6" s="2">
        <f>B5/B4</f>
        <v>5.9724349157733531E-2</v>
      </c>
      <c r="C6" s="2">
        <f>C5/C4</f>
        <v>4.8780487804878044E-2</v>
      </c>
      <c r="D6" s="2">
        <f t="shared" ref="D6:F6" si="3">D5/D4</f>
        <v>4.8019207683073231E-2</v>
      </c>
      <c r="E6" s="26">
        <f t="shared" si="3"/>
        <v>5.4151624548736454E-2</v>
      </c>
      <c r="F6" s="2">
        <f t="shared" si="3"/>
        <v>4.954954954954955E-2</v>
      </c>
      <c r="G6" s="3"/>
      <c r="H6" s="3"/>
      <c r="I6" s="3"/>
    </row>
  </sheetData>
  <pageMargins left="0.7" right="0.7" top="0.75" bottom="0.75" header="0.3" footer="0.3"/>
  <pageSetup paperSize="9" scale="98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D4AE4-6354-42E1-9531-5CDE72CC8F1D}">
  <sheetPr codeName="Taul42">
    <tabColor rgb="FFFFFF00"/>
    <pageSetUpPr fitToPage="1"/>
  </sheetPr>
  <dimension ref="A1:I14"/>
  <sheetViews>
    <sheetView workbookViewId="0">
      <selection activeCell="F4" sqref="F4"/>
    </sheetView>
  </sheetViews>
  <sheetFormatPr defaultRowHeight="15" x14ac:dyDescent="0.25"/>
  <cols>
    <col min="1" max="1" width="9.7109375" bestFit="1" customWidth="1"/>
    <col min="2" max="3" width="6.85546875" bestFit="1" customWidth="1"/>
    <col min="4" max="4" width="10.5703125" style="1" bestFit="1" customWidth="1"/>
    <col min="5" max="5" width="9.42578125" customWidth="1"/>
    <col min="6" max="6" width="20.85546875" bestFit="1" customWidth="1"/>
    <col min="7" max="9" width="10.42578125" bestFit="1" customWidth="1"/>
  </cols>
  <sheetData>
    <row r="1" spans="1:9" ht="15.75" thickBot="1" x14ac:dyDescent="0.3">
      <c r="A1" s="4" t="s">
        <v>137</v>
      </c>
      <c r="B1" s="4"/>
      <c r="C1" s="4"/>
      <c r="E1" s="4"/>
      <c r="F1" s="45" t="s">
        <v>135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4">
        <v>92</v>
      </c>
      <c r="C4" s="14">
        <f>121.7-B4</f>
        <v>29.700000000000003</v>
      </c>
      <c r="D4" s="13">
        <v>97</v>
      </c>
      <c r="E4" s="25">
        <f>F4-D4</f>
        <v>30.5</v>
      </c>
      <c r="F4" s="13">
        <v>127.5</v>
      </c>
      <c r="G4" s="3">
        <f>D4/B4-1</f>
        <v>5.4347826086956541E-2</v>
      </c>
      <c r="H4" s="3">
        <f>E4/C4-1</f>
        <v>2.6936026936026813E-2</v>
      </c>
      <c r="I4" s="3">
        <f>(D4+E4)/(B4+C4)-1</f>
        <v>4.7658175842234973E-2</v>
      </c>
    </row>
    <row r="5" spans="1:9" x14ac:dyDescent="0.25">
      <c r="A5" t="s">
        <v>80</v>
      </c>
      <c r="B5" s="14">
        <v>6.4</v>
      </c>
      <c r="C5" s="14">
        <f>7.9-B5</f>
        <v>1.5</v>
      </c>
      <c r="D5" s="13">
        <v>11.4</v>
      </c>
      <c r="E5" s="25">
        <f>F5-D5</f>
        <v>1.0999999999999996</v>
      </c>
      <c r="F5" s="13">
        <v>12.5</v>
      </c>
      <c r="G5" s="3">
        <f t="shared" ref="G5" si="0">D5/B5-1</f>
        <v>0.78125</v>
      </c>
      <c r="H5" s="3">
        <f t="shared" ref="H5" si="1">E5/C5-1</f>
        <v>-0.26666666666666694</v>
      </c>
      <c r="I5" s="3">
        <f t="shared" ref="I5" si="2">(D5+E5)/(B5+C5)-1</f>
        <v>0.58227848101265822</v>
      </c>
    </row>
    <row r="6" spans="1:9" x14ac:dyDescent="0.25">
      <c r="A6" t="s">
        <v>72</v>
      </c>
      <c r="B6" s="2">
        <f>B5/B4</f>
        <v>6.9565217391304349E-2</v>
      </c>
      <c r="C6" s="2">
        <f>C5/C4</f>
        <v>5.0505050505050497E-2</v>
      </c>
      <c r="D6" s="2">
        <f t="shared" ref="D6:F6" si="3">D5/D4</f>
        <v>0.11752577319587629</v>
      </c>
      <c r="E6" s="26">
        <f t="shared" si="3"/>
        <v>3.6065573770491792E-2</v>
      </c>
      <c r="F6" s="2">
        <f t="shared" si="3"/>
        <v>9.8039215686274508E-2</v>
      </c>
      <c r="G6" s="3"/>
      <c r="H6" s="3"/>
      <c r="I6" s="3"/>
    </row>
    <row r="7" spans="1:9" x14ac:dyDescent="0.25">
      <c r="B7" s="4"/>
      <c r="C7" s="4"/>
      <c r="E7" s="4"/>
      <c r="F7" s="4"/>
    </row>
    <row r="10" spans="1:9" x14ac:dyDescent="0.25">
      <c r="D10" s="6"/>
      <c r="E10" s="6"/>
      <c r="F10" s="6"/>
      <c r="G10" s="3"/>
    </row>
    <row r="11" spans="1:9" x14ac:dyDescent="0.25">
      <c r="D11" s="6"/>
      <c r="E11" s="6"/>
      <c r="F11" s="6"/>
      <c r="G11" s="3"/>
    </row>
    <row r="12" spans="1:9" x14ac:dyDescent="0.25">
      <c r="D12" s="2"/>
      <c r="E12" s="2"/>
      <c r="F12" s="2"/>
    </row>
    <row r="14" spans="1:9" x14ac:dyDescent="0.25">
      <c r="A14" s="4"/>
    </row>
  </sheetData>
  <pageMargins left="0.7" right="0.7" top="0.75" bottom="0.75" header="0.3" footer="0.3"/>
  <pageSetup paperSize="9" scale="91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233F-BC41-47F2-8D36-F419C3524756}">
  <sheetPr codeName="Taul7">
    <tabColor rgb="FFFFFF00"/>
    <pageSetUpPr fitToPage="1"/>
  </sheetPr>
  <dimension ref="A1:I14"/>
  <sheetViews>
    <sheetView workbookViewId="0">
      <selection activeCell="G4" sqref="G4"/>
    </sheetView>
  </sheetViews>
  <sheetFormatPr defaultRowHeight="15" x14ac:dyDescent="0.25"/>
  <cols>
    <col min="1" max="1" width="12" bestFit="1" customWidth="1"/>
    <col min="2" max="3" width="6.85546875" bestFit="1" customWidth="1"/>
    <col min="4" max="4" width="10.5703125" style="1" bestFit="1" customWidth="1"/>
    <col min="5" max="5" width="9.42578125" customWidth="1"/>
    <col min="6" max="6" width="20.85546875" bestFit="1" customWidth="1"/>
    <col min="7" max="9" width="10.42578125" bestFit="1" customWidth="1"/>
  </cols>
  <sheetData>
    <row r="1" spans="1:9" ht="15.75" thickBot="1" x14ac:dyDescent="0.3">
      <c r="A1" s="4" t="s">
        <v>117</v>
      </c>
      <c r="B1" s="4"/>
      <c r="C1" s="4"/>
      <c r="E1" s="4"/>
      <c r="F1" s="17" t="s">
        <v>69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4">
        <v>56.2</v>
      </c>
      <c r="C4" s="14">
        <v>22.2</v>
      </c>
      <c r="D4" s="13">
        <v>54</v>
      </c>
      <c r="E4" s="25">
        <f>F4-D4</f>
        <v>27.927999999999997</v>
      </c>
      <c r="F4" s="13">
        <f>78.4*1.045</f>
        <v>81.927999999999997</v>
      </c>
      <c r="G4" s="3">
        <f>D4/B4-1</f>
        <v>-3.9145907473309705E-2</v>
      </c>
      <c r="H4" s="3">
        <f>E4/C4-1</f>
        <v>0.25801801801801783</v>
      </c>
      <c r="I4" s="3">
        <f>(D4+E4)/(B4+C4)-1</f>
        <v>4.4999999999999929E-2</v>
      </c>
    </row>
    <row r="5" spans="1:9" x14ac:dyDescent="0.25">
      <c r="A5" t="s">
        <v>80</v>
      </c>
      <c r="B5" s="14">
        <v>16</v>
      </c>
      <c r="C5" s="14">
        <f>23.8-B5</f>
        <v>7.8000000000000007</v>
      </c>
      <c r="D5" s="13">
        <v>13</v>
      </c>
      <c r="E5" s="25">
        <f>F5-D5</f>
        <v>13.418000000000003</v>
      </c>
      <c r="F5" s="13">
        <f>23.8*1.11</f>
        <v>26.418000000000003</v>
      </c>
      <c r="G5" s="3">
        <f t="shared" ref="G5" si="0">D5/B5-1</f>
        <v>-0.1875</v>
      </c>
      <c r="H5" s="3">
        <f t="shared" ref="H5" si="1">E5/C5-1</f>
        <v>0.72025641025641041</v>
      </c>
      <c r="I5" s="3">
        <f t="shared" ref="I5" si="2">(D5+E5)/(B5+C5)-1</f>
        <v>0.1100000000000001</v>
      </c>
    </row>
    <row r="6" spans="1:9" x14ac:dyDescent="0.25">
      <c r="A6" t="s">
        <v>72</v>
      </c>
      <c r="B6" s="2">
        <f>B5/B4</f>
        <v>0.28469750889679712</v>
      </c>
      <c r="C6" s="2">
        <f>C5/C4</f>
        <v>0.35135135135135137</v>
      </c>
      <c r="D6" s="2">
        <f t="shared" ref="D6:F6" si="3">D5/D4</f>
        <v>0.24074074074074073</v>
      </c>
      <c r="E6" s="26">
        <f t="shared" si="3"/>
        <v>0.48044972787167017</v>
      </c>
      <c r="F6" s="2">
        <f t="shared" si="3"/>
        <v>0.32245386192754616</v>
      </c>
      <c r="G6" s="3"/>
      <c r="H6" s="3"/>
      <c r="I6" s="3"/>
    </row>
    <row r="7" spans="1:9" x14ac:dyDescent="0.25">
      <c r="B7" s="4"/>
      <c r="C7" s="4"/>
      <c r="E7" s="4" t="s">
        <v>88</v>
      </c>
      <c r="F7" s="4"/>
    </row>
    <row r="10" spans="1:9" x14ac:dyDescent="0.25">
      <c r="D10" s="6"/>
      <c r="E10" s="6"/>
      <c r="F10" s="6"/>
      <c r="G10" s="3"/>
    </row>
    <row r="11" spans="1:9" x14ac:dyDescent="0.25">
      <c r="D11" s="6"/>
      <c r="E11" s="6"/>
      <c r="F11" s="6"/>
      <c r="G11" s="3"/>
    </row>
    <row r="12" spans="1:9" x14ac:dyDescent="0.25">
      <c r="D12" s="2"/>
      <c r="E12" s="2"/>
      <c r="F12" s="2"/>
    </row>
    <row r="14" spans="1:9" x14ac:dyDescent="0.25">
      <c r="A14" s="4"/>
    </row>
  </sheetData>
  <pageMargins left="0.7" right="0.7" top="0.75" bottom="0.75" header="0.3" footer="0.3"/>
  <pageSetup paperSize="9" scale="91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6E294-EEF1-4925-A441-260A7F647EF2}">
  <sheetPr codeName="Taul13">
    <tabColor rgb="FFFFFF00"/>
    <pageSetUpPr fitToPage="1"/>
  </sheetPr>
  <dimension ref="A1:I7"/>
  <sheetViews>
    <sheetView workbookViewId="0"/>
  </sheetViews>
  <sheetFormatPr defaultRowHeight="15" x14ac:dyDescent="0.25"/>
  <cols>
    <col min="1" max="1" width="9.5703125" bestFit="1" customWidth="1"/>
    <col min="2" max="3" width="6.85546875" bestFit="1" customWidth="1"/>
    <col min="4" max="4" width="7.140625" style="1" bestFit="1" customWidth="1"/>
    <col min="5" max="5" width="9.42578125" customWidth="1"/>
    <col min="6" max="6" width="18.28515625" bestFit="1" customWidth="1"/>
    <col min="7" max="9" width="10.42578125" bestFit="1" customWidth="1"/>
  </cols>
  <sheetData>
    <row r="1" spans="1:9" ht="15.75" thickBot="1" x14ac:dyDescent="0.3">
      <c r="A1" s="4" t="s">
        <v>118</v>
      </c>
      <c r="B1" s="4"/>
      <c r="C1" s="4"/>
      <c r="E1" s="4"/>
      <c r="F1" s="18" t="s">
        <v>61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148</v>
      </c>
      <c r="C3" s="10" t="s">
        <v>149</v>
      </c>
      <c r="D3" s="9" t="s">
        <v>148</v>
      </c>
      <c r="E3" s="24" t="s">
        <v>149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v>13.5</v>
      </c>
      <c r="C4" s="13">
        <f>25.9-B4</f>
        <v>12.399999999999999</v>
      </c>
      <c r="D4" s="13">
        <v>11.5</v>
      </c>
      <c r="E4" s="25">
        <f>F4-D4</f>
        <v>11.100000000000001</v>
      </c>
      <c r="F4" s="13">
        <v>22.6</v>
      </c>
      <c r="G4" s="3">
        <f>D4/B4-1</f>
        <v>-0.14814814814814814</v>
      </c>
      <c r="H4" s="3">
        <f>E4/C4-1</f>
        <v>-0.10483870967741915</v>
      </c>
      <c r="I4" s="3">
        <f>(D4+E4)/(B4+C4)-1</f>
        <v>-0.12741312741312727</v>
      </c>
    </row>
    <row r="5" spans="1:9" x14ac:dyDescent="0.25">
      <c r="A5" t="s">
        <v>80</v>
      </c>
      <c r="B5" s="13">
        <v>6.7</v>
      </c>
      <c r="C5" s="13">
        <f>12.6-B5</f>
        <v>5.8999999999999995</v>
      </c>
      <c r="D5" s="13">
        <v>5.3</v>
      </c>
      <c r="E5" s="25">
        <f>F5-D5</f>
        <v>4.3</v>
      </c>
      <c r="F5" s="13">
        <v>9.6</v>
      </c>
      <c r="G5" s="3">
        <f t="shared" ref="G5" si="0">D5/B5-1</f>
        <v>-0.20895522388059706</v>
      </c>
      <c r="H5" s="3">
        <f t="shared" ref="H5" si="1">E5/C5-1</f>
        <v>-0.27118644067796605</v>
      </c>
      <c r="I5" s="3">
        <f t="shared" ref="I5" si="2">(D5+E5)/(B5+C5)-1</f>
        <v>-0.23809523809523814</v>
      </c>
    </row>
    <row r="6" spans="1:9" x14ac:dyDescent="0.25">
      <c r="A6" t="s">
        <v>82</v>
      </c>
      <c r="B6" s="11">
        <f>B5/B4</f>
        <v>0.49629629629629629</v>
      </c>
      <c r="C6" s="11">
        <f>C5/C4</f>
        <v>0.47580645161290325</v>
      </c>
      <c r="D6" s="11">
        <f t="shared" ref="D6:E6" si="3">D5/D4</f>
        <v>0.46086956521739131</v>
      </c>
      <c r="E6" s="26">
        <f t="shared" si="3"/>
        <v>0.38738738738738732</v>
      </c>
      <c r="F6" s="26">
        <f>F5/F4</f>
        <v>0.42477876106194684</v>
      </c>
      <c r="G6" s="3"/>
      <c r="H6" s="3"/>
      <c r="I6" s="3"/>
    </row>
    <row r="7" spans="1:9" x14ac:dyDescent="0.25">
      <c r="D7" s="20"/>
      <c r="E7" s="16"/>
    </row>
  </sheetData>
  <pageMargins left="0.7" right="0.7" top="0.75" bottom="0.75" header="0.3" footer="0.3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D59F-3A88-4231-9AA4-7F658D2698DF}">
  <sheetPr codeName="Taul3">
    <tabColor rgb="FFFFFF00"/>
    <pageSetUpPr fitToPage="1"/>
  </sheetPr>
  <dimension ref="A1:I6"/>
  <sheetViews>
    <sheetView workbookViewId="0">
      <selection activeCell="F5" sqref="F5"/>
    </sheetView>
  </sheetViews>
  <sheetFormatPr defaultRowHeight="15" x14ac:dyDescent="0.25"/>
  <cols>
    <col min="1" max="1" width="10.7109375" bestFit="1" customWidth="1"/>
    <col min="2" max="3" width="6.28515625" bestFit="1" customWidth="1"/>
    <col min="4" max="4" width="7.42578125" style="1" bestFit="1" customWidth="1"/>
    <col min="5" max="5" width="9.42578125" customWidth="1"/>
    <col min="6" max="6" width="20.85546875" bestFit="1" customWidth="1"/>
    <col min="7" max="9" width="10.42578125" bestFit="1" customWidth="1"/>
  </cols>
  <sheetData>
    <row r="1" spans="1:9" ht="15.75" thickBot="1" x14ac:dyDescent="0.3">
      <c r="A1" s="4" t="s">
        <v>119</v>
      </c>
      <c r="B1" s="4"/>
      <c r="C1" s="4"/>
      <c r="E1" s="4"/>
      <c r="F1" s="18" t="s">
        <v>61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4">
        <v>921.4</v>
      </c>
      <c r="C4" s="14">
        <f>1392.7-B4</f>
        <v>471.30000000000007</v>
      </c>
      <c r="D4" s="13">
        <v>1178</v>
      </c>
      <c r="E4" s="25">
        <f>F4-D4</f>
        <v>497</v>
      </c>
      <c r="F4" s="13">
        <v>1675</v>
      </c>
      <c r="G4" s="3">
        <f>D4/B4-1</f>
        <v>0.27848925548079007</v>
      </c>
      <c r="H4" s="3">
        <f>E4/C4-1</f>
        <v>5.4530023339698586E-2</v>
      </c>
      <c r="I4" s="3">
        <f>(D4+E4)/(B4+C4)-1</f>
        <v>0.20269979177137931</v>
      </c>
    </row>
    <row r="5" spans="1:9" x14ac:dyDescent="0.25">
      <c r="A5" t="s">
        <v>80</v>
      </c>
      <c r="B5" s="14">
        <v>52.6</v>
      </c>
      <c r="C5" s="14">
        <f>98.8-B5</f>
        <v>46.199999999999996</v>
      </c>
      <c r="D5" s="13">
        <v>52.3</v>
      </c>
      <c r="E5" s="25">
        <f>F5-D5</f>
        <v>51.7</v>
      </c>
      <c r="F5" s="13">
        <v>104</v>
      </c>
      <c r="G5" s="3">
        <f t="shared" ref="G5" si="0">D5/B5-1</f>
        <v>-5.7034220532320434E-3</v>
      </c>
      <c r="H5" s="3">
        <f t="shared" ref="H5" si="1">E5/C5-1</f>
        <v>0.11904761904761929</v>
      </c>
      <c r="I5" s="3">
        <f t="shared" ref="I5" si="2">(D5+E5)/(B5+C5)-1</f>
        <v>5.2631578947368363E-2</v>
      </c>
    </row>
    <row r="6" spans="1:9" x14ac:dyDescent="0.25">
      <c r="A6" t="s">
        <v>72</v>
      </c>
      <c r="B6" s="2">
        <f>B5/B4</f>
        <v>5.7087041458649887E-2</v>
      </c>
      <c r="C6" s="2">
        <f>C5/C4</f>
        <v>9.8026734563971971E-2</v>
      </c>
      <c r="D6" s="2">
        <f t="shared" ref="D6:F6" si="3">D5/D4</f>
        <v>4.4397283531409162E-2</v>
      </c>
      <c r="E6" s="26">
        <f t="shared" si="3"/>
        <v>0.1040241448692153</v>
      </c>
      <c r="F6" s="2">
        <f t="shared" si="3"/>
        <v>6.2089552238805967E-2</v>
      </c>
      <c r="G6" s="3"/>
      <c r="H6" s="3"/>
      <c r="I6" s="3"/>
    </row>
  </sheetData>
  <pageMargins left="0.7" right="0.7" top="0.75" bottom="0.75" header="0.3" footer="0.3"/>
  <pageSetup paperSize="9" scale="95" orientation="landscape" r:id="rId1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8165-8539-44E8-8642-6D19276DEAD4}">
  <sheetPr codeName="Taul43">
    <tabColor rgb="FFFFFF00"/>
    <pageSetUpPr fitToPage="1"/>
  </sheetPr>
  <dimension ref="A1:I7"/>
  <sheetViews>
    <sheetView workbookViewId="0">
      <selection activeCell="F1" sqref="F1"/>
    </sheetView>
  </sheetViews>
  <sheetFormatPr defaultRowHeight="15" x14ac:dyDescent="0.25"/>
  <cols>
    <col min="1" max="1" width="12.85546875" bestFit="1" customWidth="1"/>
    <col min="2" max="3" width="7.7109375" bestFit="1" customWidth="1"/>
    <col min="4" max="4" width="7.7109375" style="1" bestFit="1" customWidth="1"/>
    <col min="5" max="5" width="9.42578125" customWidth="1"/>
    <col min="6" max="6" width="20.85546875" bestFit="1" customWidth="1"/>
    <col min="7" max="9" width="10.42578125" bestFit="1" customWidth="1"/>
  </cols>
  <sheetData>
    <row r="1" spans="1:9" ht="15.75" thickBot="1" x14ac:dyDescent="0.3">
      <c r="A1" s="4" t="s">
        <v>134</v>
      </c>
      <c r="B1" s="4"/>
      <c r="C1" s="4"/>
      <c r="E1" s="4"/>
      <c r="F1" s="18" t="s">
        <v>61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v>7929</v>
      </c>
      <c r="C4" s="13">
        <f>10460-B4</f>
        <v>2531</v>
      </c>
      <c r="D4" s="13">
        <v>7707</v>
      </c>
      <c r="E4" s="25">
        <f>F4-D4</f>
        <v>2753</v>
      </c>
      <c r="F4" s="13">
        <v>10460</v>
      </c>
      <c r="G4" s="3">
        <f>D4/B4-1</f>
        <v>-2.7998486568293623E-2</v>
      </c>
      <c r="H4" s="3">
        <f>E4/C4-1</f>
        <v>8.7712366653496687E-2</v>
      </c>
      <c r="I4" s="3">
        <f>(D4+E4)/(B4+C4)-1</f>
        <v>0</v>
      </c>
    </row>
    <row r="5" spans="1:9" x14ac:dyDescent="0.25">
      <c r="A5" t="s">
        <v>71</v>
      </c>
      <c r="B5" s="13">
        <v>689</v>
      </c>
      <c r="C5" s="13">
        <f>1013-B5</f>
        <v>324</v>
      </c>
      <c r="D5" s="13">
        <v>806</v>
      </c>
      <c r="E5" s="25">
        <v>323</v>
      </c>
      <c r="F5" s="39">
        <f>D5+E5</f>
        <v>1129</v>
      </c>
      <c r="G5" s="3">
        <f t="shared" ref="G5" si="0">D5/B5-1</f>
        <v>0.16981132075471694</v>
      </c>
      <c r="H5" s="3">
        <f t="shared" ref="H5" si="1">E5/C5-1</f>
        <v>-3.0864197530864335E-3</v>
      </c>
      <c r="I5" s="3">
        <f t="shared" ref="I5" si="2">(D5+E5)/(B5+C5)-1</f>
        <v>0.11451135241855881</v>
      </c>
    </row>
    <row r="6" spans="1:9" x14ac:dyDescent="0.25">
      <c r="A6" t="s">
        <v>82</v>
      </c>
      <c r="B6" s="11">
        <f>B5/B4</f>
        <v>8.6896203808803127E-2</v>
      </c>
      <c r="C6" s="11">
        <f>C5/C4</f>
        <v>0.12801264322402212</v>
      </c>
      <c r="D6" s="11">
        <f t="shared" ref="D6:E6" si="3">D5/D4</f>
        <v>0.1045802517192163</v>
      </c>
      <c r="E6" s="26">
        <f t="shared" si="3"/>
        <v>0.1173265528514348</v>
      </c>
      <c r="F6" s="2">
        <f>F5/F4</f>
        <v>0.10793499043977055</v>
      </c>
      <c r="G6" s="3"/>
      <c r="H6" s="3"/>
      <c r="I6" s="3"/>
    </row>
    <row r="7" spans="1:9" x14ac:dyDescent="0.25">
      <c r="E7" s="16"/>
    </row>
  </sheetData>
  <pageMargins left="0.7" right="0.7" top="0.75" bottom="0.75" header="0.3" footer="0.3"/>
  <pageSetup paperSize="9" scale="97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A4D5D-0615-4FAE-81CE-1706FD59B2F2}">
  <sheetPr codeName="Taul14">
    <tabColor rgb="FFFFFF00"/>
    <pageSetUpPr fitToPage="1"/>
  </sheetPr>
  <dimension ref="A1:I7"/>
  <sheetViews>
    <sheetView workbookViewId="0"/>
  </sheetViews>
  <sheetFormatPr defaultRowHeight="15" x14ac:dyDescent="0.25"/>
  <cols>
    <col min="1" max="1" width="14.140625" bestFit="1" customWidth="1"/>
    <col min="2" max="3" width="7.7109375" bestFit="1" customWidth="1"/>
    <col min="4" max="4" width="7.7109375" style="1" bestFit="1" customWidth="1"/>
    <col min="5" max="5" width="9.42578125" customWidth="1"/>
    <col min="6" max="6" width="20.85546875" bestFit="1" customWidth="1"/>
    <col min="7" max="9" width="10.42578125" bestFit="1" customWidth="1"/>
  </cols>
  <sheetData>
    <row r="1" spans="1:9" ht="15.75" thickBot="1" x14ac:dyDescent="0.3">
      <c r="A1" s="4" t="s">
        <v>120</v>
      </c>
      <c r="B1" s="4"/>
      <c r="C1" s="4"/>
      <c r="E1" s="4"/>
      <c r="F1" s="18" t="s">
        <v>61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t="s">
        <v>64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f>1321+1417+1295</f>
        <v>4033</v>
      </c>
      <c r="C4" s="13">
        <v>1499</v>
      </c>
      <c r="D4" s="13">
        <v>3831</v>
      </c>
      <c r="E4" s="25">
        <f>F4-D4</f>
        <v>1701</v>
      </c>
      <c r="F4" s="13">
        <v>5532</v>
      </c>
      <c r="G4" s="3">
        <f>D4/B4-1</f>
        <v>-5.0086784031738163E-2</v>
      </c>
      <c r="H4" s="3">
        <f>E4/C4-1</f>
        <v>0.13475650433622421</v>
      </c>
      <c r="I4" s="3">
        <f>(D4+E4)/(B4+C4)-1</f>
        <v>0</v>
      </c>
    </row>
    <row r="5" spans="1:9" x14ac:dyDescent="0.25">
      <c r="A5" t="s">
        <v>108</v>
      </c>
      <c r="B5" s="13">
        <f>97+136+150</f>
        <v>383</v>
      </c>
      <c r="C5" s="13">
        <f>F5-B5</f>
        <v>236</v>
      </c>
      <c r="D5" s="13">
        <v>417</v>
      </c>
      <c r="E5" s="25">
        <f>F5-D5</f>
        <v>202</v>
      </c>
      <c r="F5" s="13">
        <v>619</v>
      </c>
      <c r="G5" s="3">
        <f t="shared" ref="G5" si="0">D5/B5-1</f>
        <v>8.877284595300261E-2</v>
      </c>
      <c r="H5" s="3">
        <f t="shared" ref="H5" si="1">E5/C5-1</f>
        <v>-0.14406779661016944</v>
      </c>
      <c r="I5" s="3">
        <f t="shared" ref="I5" si="2">(D5+E5)/(B5+C5)-1</f>
        <v>0</v>
      </c>
    </row>
    <row r="6" spans="1:9" x14ac:dyDescent="0.25">
      <c r="A6" t="s">
        <v>78</v>
      </c>
      <c r="B6" s="11">
        <f>B5/B4</f>
        <v>9.4966526159186715E-2</v>
      </c>
      <c r="C6" s="11">
        <f>C5/C4</f>
        <v>0.15743829219479652</v>
      </c>
      <c r="D6" s="11">
        <f t="shared" ref="D6:F6" si="3">D5/D4</f>
        <v>0.10884886452623337</v>
      </c>
      <c r="E6" s="26">
        <f t="shared" si="3"/>
        <v>0.11875367430922987</v>
      </c>
      <c r="F6" s="26">
        <f t="shared" si="3"/>
        <v>0.1118944323933478</v>
      </c>
      <c r="G6" s="3"/>
      <c r="H6" s="3"/>
      <c r="I6" s="3"/>
    </row>
    <row r="7" spans="1:9" x14ac:dyDescent="0.25">
      <c r="E7" s="16"/>
    </row>
  </sheetData>
  <pageMargins left="0.7" right="0.7" top="0.75" bottom="0.75" header="0.3" footer="0.3"/>
  <pageSetup paperSize="9" scale="97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02792-C283-41E1-AEB9-3AECB0A262D5}">
  <sheetPr codeName="Taul27">
    <tabColor rgb="FFFFFF00"/>
    <pageSetUpPr fitToPage="1"/>
  </sheetPr>
  <dimension ref="A1:I6"/>
  <sheetViews>
    <sheetView workbookViewId="0">
      <selection activeCell="G4" sqref="G4"/>
    </sheetView>
  </sheetViews>
  <sheetFormatPr defaultRowHeight="15" x14ac:dyDescent="0.25"/>
  <cols>
    <col min="1" max="1" width="8.28515625" bestFit="1" customWidth="1"/>
    <col min="2" max="3" width="10" bestFit="1" customWidth="1"/>
    <col min="4" max="4" width="10" style="1" bestFit="1" customWidth="1"/>
    <col min="5" max="5" width="9.42578125" customWidth="1"/>
    <col min="6" max="6" width="20" bestFit="1" customWidth="1"/>
    <col min="7" max="9" width="10.42578125" bestFit="1" customWidth="1"/>
  </cols>
  <sheetData>
    <row r="1" spans="1:9" ht="15.75" thickBot="1" x14ac:dyDescent="0.3">
      <c r="A1" s="4" t="s">
        <v>126</v>
      </c>
      <c r="B1" s="4"/>
      <c r="C1" s="4"/>
      <c r="E1" s="4"/>
      <c r="F1" s="18" t="s">
        <v>122</v>
      </c>
    </row>
    <row r="2" spans="1:9" x14ac:dyDescent="0.25">
      <c r="B2">
        <v>2023</v>
      </c>
      <c r="C2">
        <v>2023</v>
      </c>
      <c r="D2" s="1">
        <v>2024</v>
      </c>
      <c r="E2" s="27">
        <v>2024</v>
      </c>
      <c r="F2" s="32">
        <v>2024</v>
      </c>
      <c r="G2" s="46" t="s">
        <v>92</v>
      </c>
      <c r="H2" s="46" t="s">
        <v>92</v>
      </c>
      <c r="I2" s="46" t="s">
        <v>92</v>
      </c>
    </row>
    <row r="3" spans="1:9" x14ac:dyDescent="0.25">
      <c r="B3" s="10" t="s">
        <v>62</v>
      </c>
      <c r="C3" s="10" t="s">
        <v>63</v>
      </c>
      <c r="D3" s="9" t="s">
        <v>62</v>
      </c>
      <c r="E3" s="24" t="s">
        <v>63</v>
      </c>
      <c r="F3" s="12" t="s">
        <v>70</v>
      </c>
      <c r="G3" s="47" t="s">
        <v>142</v>
      </c>
      <c r="H3" s="47" t="s">
        <v>143</v>
      </c>
      <c r="I3" s="47" t="s">
        <v>144</v>
      </c>
    </row>
    <row r="4" spans="1:9" x14ac:dyDescent="0.25">
      <c r="A4" t="s">
        <v>65</v>
      </c>
      <c r="B4" s="13">
        <f>131420+140821+132405</f>
        <v>404646</v>
      </c>
      <c r="C4" s="13">
        <v>148117</v>
      </c>
      <c r="D4" s="13">
        <f>131177+140249+116978</f>
        <v>388404</v>
      </c>
      <c r="E4" s="25">
        <f>F4-D4</f>
        <v>128321</v>
      </c>
      <c r="F4" s="13">
        <f>D4+128321</f>
        <v>516725</v>
      </c>
      <c r="G4" s="3">
        <f>D4/B4-1</f>
        <v>-4.0138787977639701E-2</v>
      </c>
      <c r="H4" s="3">
        <f>E4/C4-1</f>
        <v>-0.13365110014380521</v>
      </c>
      <c r="I4" s="3">
        <f>(D4+E4)/(B4+C4)-1</f>
        <v>-6.5196114790606496E-2</v>
      </c>
    </row>
    <row r="5" spans="1:9" x14ac:dyDescent="0.25">
      <c r="A5" t="s">
        <v>80</v>
      </c>
      <c r="B5" s="13">
        <f>18409+21732+19114</f>
        <v>59255</v>
      </c>
      <c r="C5" s="13">
        <v>18384</v>
      </c>
      <c r="D5" s="13">
        <f>18159+19446+14074</f>
        <v>51679</v>
      </c>
      <c r="E5" s="25">
        <f>F5-D5</f>
        <v>14277</v>
      </c>
      <c r="F5" s="13">
        <f>D5+14277</f>
        <v>65956</v>
      </c>
      <c r="G5" s="3">
        <f t="shared" ref="G5" si="0">D5/B5-1</f>
        <v>-0.12785418951987171</v>
      </c>
      <c r="H5" s="3">
        <f t="shared" ref="H5" si="1">E5/C5-1</f>
        <v>-0.22340078328981727</v>
      </c>
      <c r="I5" s="3">
        <f t="shared" ref="I5" si="2">(D5+E5)/(B5+C5)-1</f>
        <v>-0.15047849663184742</v>
      </c>
    </row>
    <row r="6" spans="1:9" x14ac:dyDescent="0.25">
      <c r="A6" t="s">
        <v>72</v>
      </c>
      <c r="B6" s="11">
        <f>B5/B4</f>
        <v>0.1464366384444675</v>
      </c>
      <c r="C6" s="11">
        <f>C5/C4</f>
        <v>0.12411809582964818</v>
      </c>
      <c r="D6" s="11">
        <f t="shared" ref="D6:F6" si="3">D5/D4</f>
        <v>0.13305475741753431</v>
      </c>
      <c r="E6" s="26">
        <f t="shared" si="3"/>
        <v>0.11126004317298026</v>
      </c>
      <c r="F6" s="2">
        <f t="shared" si="3"/>
        <v>0.12764236295902076</v>
      </c>
      <c r="G6" s="3"/>
      <c r="H6" s="3"/>
      <c r="I6" s="3"/>
    </row>
  </sheetData>
  <pageMargins left="0.7" right="0.7" top="0.75" bottom="0.75" header="0.3" footer="0.3"/>
  <pageSetup paperSize="9" scale="97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BDE4C-2A08-4C1E-B883-C0F5E0AEBA19}">
  <sheetPr codeName="Taul8"/>
  <dimension ref="A1:O26"/>
  <sheetViews>
    <sheetView workbookViewId="0"/>
  </sheetViews>
  <sheetFormatPr defaultRowHeight="15" x14ac:dyDescent="0.25"/>
  <cols>
    <col min="1" max="1" width="22.85546875" customWidth="1"/>
    <col min="2" max="3" width="7" bestFit="1" customWidth="1"/>
    <col min="4" max="4" width="11" bestFit="1" customWidth="1"/>
    <col min="5" max="5" width="18.28515625" bestFit="1" customWidth="1"/>
    <col min="6" max="6" width="22.42578125" bestFit="1" customWidth="1"/>
    <col min="7" max="7" width="23" bestFit="1" customWidth="1"/>
    <col min="8" max="8" width="33.42578125" customWidth="1"/>
    <col min="9" max="10" width="7" bestFit="1" customWidth="1"/>
    <col min="11" max="11" width="11" bestFit="1" customWidth="1"/>
    <col min="12" max="12" width="18.28515625" bestFit="1" customWidth="1"/>
    <col min="13" max="13" width="22.42578125" bestFit="1" customWidth="1"/>
    <col min="14" max="14" width="23" bestFit="1" customWidth="1"/>
  </cols>
  <sheetData>
    <row r="1" spans="1:14" x14ac:dyDescent="0.25">
      <c r="A1" s="4" t="str">
        <f>Raute!A1</f>
        <v>RAUTE</v>
      </c>
      <c r="B1" s="4"/>
      <c r="C1" s="1"/>
      <c r="D1" s="4">
        <f>Raute!E1</f>
        <v>0</v>
      </c>
      <c r="E1" s="4" t="e">
        <f>Raute!#REF!</f>
        <v>#REF!</v>
      </c>
      <c r="F1">
        <f>Raute!G1</f>
        <v>0</v>
      </c>
      <c r="G1">
        <f>Raute!I1</f>
        <v>0</v>
      </c>
      <c r="H1" s="4" t="str">
        <f>Etteplan!A1</f>
        <v>ETTEPLAN</v>
      </c>
      <c r="I1" s="1"/>
      <c r="J1" s="1"/>
      <c r="K1" s="4">
        <f>Etteplan!E1</f>
        <v>0</v>
      </c>
      <c r="L1" s="4" t="e">
        <f>Etteplan!#REF!</f>
        <v>#REF!</v>
      </c>
      <c r="M1">
        <f>Etteplan!G1</f>
        <v>0</v>
      </c>
      <c r="N1">
        <f>Etteplan!I1</f>
        <v>0</v>
      </c>
    </row>
    <row r="2" spans="1:14" x14ac:dyDescent="0.25">
      <c r="A2">
        <f>Raute!A2</f>
        <v>0</v>
      </c>
      <c r="B2" s="1">
        <f>Raute!C2</f>
        <v>2023</v>
      </c>
      <c r="C2" s="1">
        <f>Raute!D2</f>
        <v>2024</v>
      </c>
      <c r="D2">
        <f>Raute!E2</f>
        <v>2024</v>
      </c>
      <c r="E2">
        <f>Raute!F2</f>
        <v>2024</v>
      </c>
      <c r="F2" t="str">
        <f>Raute!G2</f>
        <v>GROWTH%</v>
      </c>
      <c r="G2" t="str">
        <f>Raute!I2</f>
        <v>GROWTH%</v>
      </c>
      <c r="H2">
        <f>Etteplan!A2</f>
        <v>0</v>
      </c>
      <c r="I2" s="1">
        <f>Etteplan!C2</f>
        <v>2023</v>
      </c>
      <c r="J2" s="1">
        <f>Etteplan!D2</f>
        <v>2024</v>
      </c>
      <c r="K2">
        <f>Etteplan!E2</f>
        <v>2024</v>
      </c>
      <c r="L2">
        <f>Etteplan!F2</f>
        <v>2024</v>
      </c>
      <c r="M2" t="str">
        <f>Etteplan!G2</f>
        <v>GROWTH%</v>
      </c>
      <c r="N2" t="str">
        <f>Etteplan!I2</f>
        <v>GROWTH%</v>
      </c>
    </row>
    <row r="3" spans="1:14" x14ac:dyDescent="0.25">
      <c r="A3">
        <f>Raute!A3</f>
        <v>0</v>
      </c>
      <c r="B3" s="1" t="str">
        <f>Raute!C3</f>
        <v>10-12</v>
      </c>
      <c r="C3" s="1" t="str">
        <f>Raute!D3</f>
        <v>1-9</v>
      </c>
      <c r="D3" t="str">
        <f>Raute!E3</f>
        <v>10-12</v>
      </c>
      <c r="E3" t="str">
        <f>Raute!F3</f>
        <v>12-month guidance</v>
      </c>
      <c r="F3" t="str">
        <f>Raute!G3</f>
        <v>1-9A</v>
      </c>
      <c r="G3" t="str">
        <f>Raute!I3</f>
        <v>1-12E</v>
      </c>
      <c r="H3">
        <f>Etteplan!A3</f>
        <v>0</v>
      </c>
      <c r="I3" s="1" t="str">
        <f>Etteplan!C3</f>
        <v>10-12</v>
      </c>
      <c r="J3" s="1" t="str">
        <f>Etteplan!D3</f>
        <v>1-9</v>
      </c>
      <c r="K3" t="str">
        <f>Etteplan!E3</f>
        <v>10-12</v>
      </c>
      <c r="L3" t="str">
        <f>Etteplan!F3</f>
        <v>12-month guidance</v>
      </c>
      <c r="M3" t="str">
        <f>Etteplan!G3</f>
        <v>1-9A</v>
      </c>
      <c r="N3" t="str">
        <f>Etteplan!I3</f>
        <v>1-12E</v>
      </c>
    </row>
    <row r="4" spans="1:14" x14ac:dyDescent="0.25">
      <c r="A4" t="str">
        <f>Raute!A4</f>
        <v>Revenue</v>
      </c>
      <c r="B4" s="6">
        <f>Raute!C4</f>
        <v>45.2</v>
      </c>
      <c r="C4" s="6">
        <f>Raute!D4</f>
        <v>148.1</v>
      </c>
      <c r="D4" s="6">
        <f>Raute!E4</f>
        <v>51.900000000000006</v>
      </c>
      <c r="E4" s="6">
        <f>Raute!F4</f>
        <v>200</v>
      </c>
      <c r="F4" s="3">
        <f>Raute!G4</f>
        <v>0.47804391217564857</v>
      </c>
      <c r="G4" s="3">
        <f>Raute!I4</f>
        <v>0.37551581843191184</v>
      </c>
      <c r="H4" t="str">
        <f>Etteplan!A4</f>
        <v>Revenue</v>
      </c>
      <c r="I4" s="6">
        <f>Etteplan!C4</f>
        <v>95.100000000000023</v>
      </c>
      <c r="J4" s="6">
        <f>Etteplan!D4</f>
        <v>269.7</v>
      </c>
      <c r="K4" s="6">
        <f>Etteplan!E4</f>
        <v>92.800000000000011</v>
      </c>
      <c r="L4" s="6">
        <f>Etteplan!F4</f>
        <v>362.5</v>
      </c>
      <c r="M4" s="3">
        <f>Etteplan!G4</f>
        <v>1.8120045300113352E-2</v>
      </c>
      <c r="N4" s="3">
        <f>Etteplan!I4</f>
        <v>6.9444444444444198E-3</v>
      </c>
    </row>
    <row r="5" spans="1:14" x14ac:dyDescent="0.25">
      <c r="A5" t="str">
        <f>Raute!A5</f>
        <v>ebitda comparable</v>
      </c>
      <c r="B5" s="6">
        <f>Raute!C5</f>
        <v>2.7000000000000011</v>
      </c>
      <c r="C5" s="6">
        <f>Raute!D5</f>
        <v>14.7</v>
      </c>
      <c r="D5" s="6">
        <f>Raute!E5</f>
        <v>4.3000000000000007</v>
      </c>
      <c r="E5" s="6">
        <f>Raute!F5</f>
        <v>19</v>
      </c>
      <c r="F5" s="3">
        <f>Raute!G5</f>
        <v>1.2272727272727271</v>
      </c>
      <c r="G5" s="3">
        <f>Raute!I5</f>
        <v>1.043010752688172</v>
      </c>
      <c r="H5" t="str">
        <f>Etteplan!A5</f>
        <v>EBIT</v>
      </c>
      <c r="I5" s="6">
        <f>Etteplan!C5</f>
        <v>8.1000000000000014</v>
      </c>
      <c r="J5" s="6">
        <f>Etteplan!D5</f>
        <v>13.5</v>
      </c>
      <c r="K5" s="6">
        <f>Etteplan!E5</f>
        <v>6.5</v>
      </c>
      <c r="L5" s="6">
        <f>Etteplan!F5</f>
        <v>20</v>
      </c>
      <c r="M5" s="3">
        <f>Etteplan!G5</f>
        <v>-0.22413793103448265</v>
      </c>
      <c r="N5" s="3">
        <f>Etteplan!I5</f>
        <v>-0.21568627450980393</v>
      </c>
    </row>
    <row r="6" spans="1:14" x14ac:dyDescent="0.25">
      <c r="A6" t="str">
        <f>Raute!A6</f>
        <v>EBITDA %</v>
      </c>
      <c r="B6" s="2">
        <f>Raute!C6</f>
        <v>5.97345132743363E-2</v>
      </c>
      <c r="C6" s="2">
        <f>Raute!D6</f>
        <v>9.9257258609047938E-2</v>
      </c>
      <c r="D6" s="2">
        <f>Raute!E6</f>
        <v>8.2851637764932567E-2</v>
      </c>
      <c r="E6" s="2">
        <f>Raute!F6</f>
        <v>9.5000000000000001E-2</v>
      </c>
      <c r="F6" s="3">
        <f>Raute!G6</f>
        <v>0</v>
      </c>
      <c r="G6" s="3">
        <f>Raute!I6</f>
        <v>0</v>
      </c>
      <c r="H6" t="str">
        <f>Etteplan!A6</f>
        <v>EBIT %</v>
      </c>
      <c r="I6" s="2">
        <f>Etteplan!C6</f>
        <v>8.5173501577287064E-2</v>
      </c>
      <c r="J6" s="2">
        <f>Etteplan!D6</f>
        <v>5.0055617352614018E-2</v>
      </c>
      <c r="K6" s="2">
        <f>Etteplan!E6</f>
        <v>7.0043103448275856E-2</v>
      </c>
      <c r="L6" s="2">
        <f>Etteplan!F6</f>
        <v>5.5172413793103448E-2</v>
      </c>
      <c r="M6" s="3">
        <f>Etteplan!G6</f>
        <v>0</v>
      </c>
      <c r="N6" s="3">
        <f>Etteplan!I6</f>
        <v>0</v>
      </c>
    </row>
    <row r="7" spans="1:14" x14ac:dyDescent="0.25">
      <c r="A7" t="e">
        <f>Raute!#REF!</f>
        <v>#REF!</v>
      </c>
      <c r="B7" s="1"/>
      <c r="C7" s="1"/>
      <c r="D7" t="e">
        <f>Raute!#REF!</f>
        <v>#REF!</v>
      </c>
      <c r="E7" t="e">
        <f>Raute!#REF!</f>
        <v>#REF!</v>
      </c>
      <c r="F7" t="e">
        <f>Raute!#REF!</f>
        <v>#REF!</v>
      </c>
      <c r="G7" t="e">
        <f>Raute!#REF!</f>
        <v>#REF!</v>
      </c>
      <c r="H7" t="e">
        <f>Etteplan!#REF!</f>
        <v>#REF!</v>
      </c>
      <c r="I7" s="1"/>
      <c r="J7" s="1"/>
      <c r="K7" t="e">
        <f>Etteplan!#REF!</f>
        <v>#REF!</v>
      </c>
      <c r="L7" t="e">
        <f>Etteplan!#REF!</f>
        <v>#REF!</v>
      </c>
      <c r="M7" t="e">
        <f>Etteplan!#REF!</f>
        <v>#REF!</v>
      </c>
      <c r="N7" t="e">
        <f>Etteplan!#REF!</f>
        <v>#REF!</v>
      </c>
    </row>
    <row r="8" spans="1:14" s="4" customFormat="1" x14ac:dyDescent="0.25">
      <c r="A8" s="4" t="str">
        <f>Raute!F1</f>
        <v>Low EBITDA guidance</v>
      </c>
      <c r="B8" s="8"/>
      <c r="C8" s="8"/>
      <c r="D8" s="4">
        <f>Raute!E7</f>
        <v>0</v>
      </c>
      <c r="E8" s="4">
        <f>Raute!F7</f>
        <v>0</v>
      </c>
      <c r="F8" s="4">
        <f>Raute!G7</f>
        <v>0</v>
      </c>
      <c r="G8" s="4">
        <f>Raute!I7</f>
        <v>0</v>
      </c>
      <c r="H8" s="4" t="str">
        <f>Etteplan!F1</f>
        <v>Realistic guidance</v>
      </c>
      <c r="I8" s="8"/>
      <c r="J8" s="8"/>
      <c r="K8" s="4">
        <f>Etteplan!E7</f>
        <v>0</v>
      </c>
      <c r="L8" s="4">
        <f>Etteplan!F7</f>
        <v>0</v>
      </c>
      <c r="M8" s="4">
        <f>Etteplan!G7</f>
        <v>0</v>
      </c>
      <c r="N8" s="4">
        <f>Etteplan!I7</f>
        <v>0</v>
      </c>
    </row>
    <row r="10" spans="1:14" x14ac:dyDescent="0.25">
      <c r="A10" s="4" t="str">
        <f>Tokmanni!A1</f>
        <v>TOKMANNI</v>
      </c>
      <c r="B10" s="1"/>
      <c r="C10" s="1"/>
      <c r="D10" s="4">
        <f>Tokmanni!E1</f>
        <v>0</v>
      </c>
      <c r="E10" s="4" t="e">
        <f>Tokmanni!#REF!</f>
        <v>#REF!</v>
      </c>
      <c r="F10">
        <f>Tokmanni!G1</f>
        <v>0</v>
      </c>
      <c r="G10">
        <f>Tokmanni!I1</f>
        <v>0</v>
      </c>
      <c r="H10" s="4" t="str">
        <f>Lapwall!A1</f>
        <v>LAPWALL</v>
      </c>
      <c r="I10" s="1"/>
      <c r="J10" s="1"/>
      <c r="K10" s="4">
        <f>Lapwall!E1</f>
        <v>0</v>
      </c>
      <c r="L10" s="4" t="e">
        <f>Lapwall!#REF!</f>
        <v>#REF!</v>
      </c>
      <c r="M10">
        <f>Lapwall!G1</f>
        <v>0</v>
      </c>
      <c r="N10">
        <f>Lapwall!I1</f>
        <v>0</v>
      </c>
    </row>
    <row r="11" spans="1:14" x14ac:dyDescent="0.25">
      <c r="A11">
        <f>Tokmanni!A2</f>
        <v>0</v>
      </c>
      <c r="B11" s="1">
        <f>Tokmanni!C2</f>
        <v>2023</v>
      </c>
      <c r="C11" s="1">
        <f>Tokmanni!D2</f>
        <v>2024</v>
      </c>
      <c r="D11">
        <f>Tokmanni!E2</f>
        <v>2024</v>
      </c>
      <c r="E11">
        <f>Tokmanni!F2</f>
        <v>2024</v>
      </c>
      <c r="F11" t="str">
        <f>Tokmanni!G2</f>
        <v>GROWTH%</v>
      </c>
      <c r="G11" t="str">
        <f>Tokmanni!I2</f>
        <v>GROWTH%</v>
      </c>
      <c r="H11">
        <f>Lapwall!A2</f>
        <v>0</v>
      </c>
      <c r="I11" s="1">
        <f>Lapwall!C2</f>
        <v>2023</v>
      </c>
      <c r="J11" s="1">
        <f>Lapwall!D2</f>
        <v>2024</v>
      </c>
      <c r="K11">
        <f>Lapwall!E2</f>
        <v>2024</v>
      </c>
      <c r="L11">
        <f>Lapwall!F2</f>
        <v>2024</v>
      </c>
      <c r="M11" t="str">
        <f>Lapwall!G2</f>
        <v>GROWTH%</v>
      </c>
      <c r="N11" t="str">
        <f>Lapwall!I2</f>
        <v>GROWTH%</v>
      </c>
    </row>
    <row r="12" spans="1:14" x14ac:dyDescent="0.25">
      <c r="A12">
        <f>Tokmanni!A3</f>
        <v>0</v>
      </c>
      <c r="B12" s="1" t="str">
        <f>Tokmanni!C3</f>
        <v>10-12</v>
      </c>
      <c r="C12" s="1" t="str">
        <f>Tokmanni!D3</f>
        <v>1-9</v>
      </c>
      <c r="D12" t="str">
        <f>Tokmanni!E3</f>
        <v>10-12</v>
      </c>
      <c r="E12" t="str">
        <f>Tokmanni!F3</f>
        <v>12-month guidance</v>
      </c>
      <c r="F12" t="str">
        <f>Tokmanni!G3</f>
        <v>1-9A</v>
      </c>
      <c r="G12" t="str">
        <f>Tokmanni!I3</f>
        <v>1-12E</v>
      </c>
      <c r="H12">
        <f>Lapwall!A3</f>
        <v>0</v>
      </c>
      <c r="I12" s="1" t="str">
        <f>Lapwall!C3</f>
        <v>10-12</v>
      </c>
      <c r="J12" s="1" t="str">
        <f>Lapwall!D3</f>
        <v>1-9</v>
      </c>
      <c r="K12" t="str">
        <f>Lapwall!E3</f>
        <v>10-12</v>
      </c>
      <c r="L12" t="str">
        <f>Lapwall!F3</f>
        <v>12-month guidance</v>
      </c>
      <c r="M12" t="str">
        <f>Lapwall!G3</f>
        <v>1-9A</v>
      </c>
      <c r="N12" t="str">
        <f>Lapwall!I3</f>
        <v>1-12E</v>
      </c>
    </row>
    <row r="13" spans="1:14" x14ac:dyDescent="0.25">
      <c r="A13" t="str">
        <f>Tokmanni!A4</f>
        <v>Revenue</v>
      </c>
      <c r="B13" s="6">
        <f>Tokmanni!C4</f>
        <v>471.30000000000007</v>
      </c>
      <c r="C13" s="6">
        <f>Tokmanni!D4</f>
        <v>1178</v>
      </c>
      <c r="D13" s="6">
        <f>Tokmanni!E4</f>
        <v>497</v>
      </c>
      <c r="E13" s="6">
        <f>Tokmanni!F4</f>
        <v>1675</v>
      </c>
      <c r="F13" s="3">
        <f>Tokmanni!G4</f>
        <v>0.27848925548079007</v>
      </c>
      <c r="G13" s="3">
        <f>Tokmanni!I4</f>
        <v>0.20269979177137931</v>
      </c>
      <c r="H13" t="str">
        <f>Lapwall!A4</f>
        <v>Revenue</v>
      </c>
      <c r="I13" s="5">
        <f>Lapwall!C4</f>
        <v>12.1</v>
      </c>
      <c r="J13" s="5">
        <f>Lapwall!D4</f>
        <v>32.799999999999997</v>
      </c>
      <c r="K13" s="5">
        <f>Lapwall!E4</f>
        <v>10.950000000000003</v>
      </c>
      <c r="L13" s="5">
        <f>Lapwall!F4</f>
        <v>43.75</v>
      </c>
      <c r="M13" s="3">
        <f>Lapwall!G4</f>
        <v>0.10067114093959728</v>
      </c>
      <c r="N13" s="3">
        <f>Lapwall!I4</f>
        <v>4.4152744630071572E-2</v>
      </c>
    </row>
    <row r="14" spans="1:14" x14ac:dyDescent="0.25">
      <c r="A14" t="str">
        <f>Tokmanni!A5</f>
        <v>EBIT</v>
      </c>
      <c r="B14" s="6">
        <f>Tokmanni!C5</f>
        <v>46.199999999999996</v>
      </c>
      <c r="C14" s="6">
        <f>Tokmanni!D5</f>
        <v>52.3</v>
      </c>
      <c r="D14" s="6">
        <f>Tokmanni!E5</f>
        <v>51.7</v>
      </c>
      <c r="E14" s="6">
        <f>Tokmanni!F5</f>
        <v>104</v>
      </c>
      <c r="F14" s="3">
        <f>Tokmanni!G5</f>
        <v>-5.7034220532320434E-3</v>
      </c>
      <c r="G14" s="3">
        <f>Tokmanni!I5</f>
        <v>5.2631578947368363E-2</v>
      </c>
      <c r="H14" t="str">
        <f>Lapwall!A5</f>
        <v>EBIT without goodwill depreciations</v>
      </c>
      <c r="I14" s="5">
        <f>Lapwall!C5</f>
        <v>1</v>
      </c>
      <c r="J14" s="5">
        <f>Lapwall!D5</f>
        <v>3.8</v>
      </c>
      <c r="K14" s="5">
        <f>Lapwall!E5</f>
        <v>1.25</v>
      </c>
      <c r="L14" s="5">
        <f>Lapwall!F5</f>
        <v>5.05</v>
      </c>
      <c r="M14" s="3">
        <f>Lapwall!G5</f>
        <v>0.31034482758620685</v>
      </c>
      <c r="N14" s="3">
        <f>Lapwall!I5</f>
        <v>0.29487179487179493</v>
      </c>
    </row>
    <row r="15" spans="1:14" x14ac:dyDescent="0.25">
      <c r="A15" t="str">
        <f>Tokmanni!A6</f>
        <v>EBIT %</v>
      </c>
      <c r="B15" s="2">
        <f>Tokmanni!C6</f>
        <v>9.8026734563971971E-2</v>
      </c>
      <c r="C15" s="2">
        <f>Tokmanni!D6</f>
        <v>4.4397283531409162E-2</v>
      </c>
      <c r="D15" s="2">
        <f>Tokmanni!E6</f>
        <v>0.1040241448692153</v>
      </c>
      <c r="E15" s="2">
        <f>Tokmanni!F6</f>
        <v>6.2089552238805967E-2</v>
      </c>
      <c r="F15" s="3">
        <f>Tokmanni!G6</f>
        <v>0</v>
      </c>
      <c r="G15" s="3">
        <f>Tokmanni!I6</f>
        <v>0</v>
      </c>
      <c r="H15" t="str">
        <f>Lapwall!A6</f>
        <v>EBIT %</v>
      </c>
      <c r="I15" s="2">
        <f>Lapwall!C6</f>
        <v>8.2644628099173556E-2</v>
      </c>
      <c r="J15" s="2">
        <f>Lapwall!D6</f>
        <v>0.11585365853658537</v>
      </c>
      <c r="K15" s="2">
        <f>Lapwall!E6</f>
        <v>0.11415525114155248</v>
      </c>
      <c r="L15" s="2">
        <f>Lapwall!F6</f>
        <v>0.11542857142857142</v>
      </c>
      <c r="M15" s="3">
        <f>Lapwall!G6</f>
        <v>0</v>
      </c>
      <c r="N15" s="3">
        <f>Lapwall!I6</f>
        <v>0</v>
      </c>
    </row>
    <row r="16" spans="1:14" x14ac:dyDescent="0.25">
      <c r="A16" t="e">
        <f>Tokmanni!#REF!</f>
        <v>#REF!</v>
      </c>
      <c r="B16" s="1"/>
      <c r="C16" s="1"/>
      <c r="D16" t="e">
        <f>Tokmanni!#REF!</f>
        <v>#REF!</v>
      </c>
      <c r="E16" t="e">
        <f>Tokmanni!#REF!</f>
        <v>#REF!</v>
      </c>
      <c r="F16" t="e">
        <f>Tokmanni!#REF!</f>
        <v>#REF!</v>
      </c>
      <c r="G16" t="e">
        <f>Tokmanni!#REF!</f>
        <v>#REF!</v>
      </c>
      <c r="H16" t="e">
        <f>Lapwall!#REF!</f>
        <v>#REF!</v>
      </c>
      <c r="I16" s="1"/>
      <c r="J16" s="1"/>
      <c r="K16" t="e">
        <f>Lapwall!#REF!</f>
        <v>#REF!</v>
      </c>
      <c r="L16" t="e">
        <f>Lapwall!#REF!</f>
        <v>#REF!</v>
      </c>
      <c r="M16" t="e">
        <f>Lapwall!#REF!</f>
        <v>#REF!</v>
      </c>
      <c r="N16" t="e">
        <f>Lapwall!#REF!</f>
        <v>#REF!</v>
      </c>
    </row>
    <row r="17" spans="1:15" s="4" customFormat="1" x14ac:dyDescent="0.25">
      <c r="A17" s="4" t="str">
        <f>Tokmanni!F1</f>
        <v>Realistic guidance</v>
      </c>
      <c r="B17" s="8"/>
      <c r="C17" s="8"/>
      <c r="F17" s="4">
        <f>Tokmanni!G7</f>
        <v>0</v>
      </c>
      <c r="G17" s="4">
        <f>Tokmanni!I7</f>
        <v>0</v>
      </c>
      <c r="H17" s="4" t="str">
        <f>Lapwall!F1</f>
        <v>Realistic guidance</v>
      </c>
      <c r="I17" s="8"/>
      <c r="J17" s="8"/>
      <c r="K17" s="4">
        <f>Lapwall!E7</f>
        <v>0</v>
      </c>
      <c r="L17" s="4">
        <f>Lapwall!F7</f>
        <v>0</v>
      </c>
      <c r="M17" s="4">
        <f>Lapwall!G7</f>
        <v>0</v>
      </c>
      <c r="N17" s="4">
        <f>Lapwall!I7</f>
        <v>0</v>
      </c>
    </row>
    <row r="19" spans="1:15" x14ac:dyDescent="0.25">
      <c r="A19" s="4" t="str">
        <f>Orion!A1</f>
        <v>ORION</v>
      </c>
      <c r="B19" s="1"/>
      <c r="C19" s="1"/>
      <c r="D19" s="4">
        <f>Orion!E1</f>
        <v>0</v>
      </c>
      <c r="E19" s="4" t="e">
        <f>Orion!#REF!</f>
        <v>#REF!</v>
      </c>
      <c r="F19">
        <f>Orion!G1</f>
        <v>0</v>
      </c>
      <c r="G19">
        <f>Orion!I1</f>
        <v>0</v>
      </c>
      <c r="H19" s="4" t="str">
        <f>Tecnotree!A1</f>
        <v>TECNOTREE</v>
      </c>
      <c r="I19" s="1"/>
      <c r="J19" s="1"/>
      <c r="K19" s="4">
        <f>Tecnotree!E1</f>
        <v>0</v>
      </c>
      <c r="L19" s="4" t="e">
        <f>Tecnotree!#REF!</f>
        <v>#REF!</v>
      </c>
      <c r="M19">
        <f>Tecnotree!G1</f>
        <v>0</v>
      </c>
      <c r="N19">
        <f>Tecnotree!I1</f>
        <v>0</v>
      </c>
    </row>
    <row r="20" spans="1:15" x14ac:dyDescent="0.25">
      <c r="A20">
        <f>Orion!A2</f>
        <v>0</v>
      </c>
      <c r="B20" s="1">
        <f>Orion!C2</f>
        <v>2023</v>
      </c>
      <c r="C20" s="1">
        <f>Orion!D2</f>
        <v>2024</v>
      </c>
      <c r="D20">
        <f>Orion!E2</f>
        <v>2024</v>
      </c>
      <c r="E20">
        <f>Orion!F2</f>
        <v>2024</v>
      </c>
      <c r="F20" t="str">
        <f>Orion!G2</f>
        <v>GROWTH%</v>
      </c>
      <c r="G20" t="str">
        <f>Orion!I2</f>
        <v>GROWTH%</v>
      </c>
      <c r="H20">
        <f>Tecnotree!A2</f>
        <v>0</v>
      </c>
      <c r="I20" s="1">
        <f>Tecnotree!C2</f>
        <v>2023</v>
      </c>
      <c r="J20" s="1">
        <f>Tecnotree!D2</f>
        <v>2024</v>
      </c>
      <c r="K20">
        <f>Tecnotree!E2</f>
        <v>2024</v>
      </c>
      <c r="L20">
        <f>Tecnotree!F2</f>
        <v>2024</v>
      </c>
      <c r="M20" t="str">
        <f>Tecnotree!G2</f>
        <v>GROWTH%</v>
      </c>
      <c r="N20" t="str">
        <f>Tecnotree!I2</f>
        <v>GROWTH%</v>
      </c>
    </row>
    <row r="21" spans="1:15" x14ac:dyDescent="0.25">
      <c r="A21">
        <f>Orion!A3</f>
        <v>0</v>
      </c>
      <c r="B21" s="1" t="str">
        <f>Orion!C3</f>
        <v>10-12</v>
      </c>
      <c r="C21" s="1" t="str">
        <f>Orion!D3</f>
        <v>1-9</v>
      </c>
      <c r="D21" t="str">
        <f>Orion!E3</f>
        <v>10-12</v>
      </c>
      <c r="E21" t="str">
        <f>Orion!F3</f>
        <v>12-month guidance</v>
      </c>
      <c r="F21" t="str">
        <f>Orion!G3</f>
        <v>1-9A</v>
      </c>
      <c r="G21" t="str">
        <f>Orion!I3</f>
        <v>1-12E</v>
      </c>
      <c r="H21">
        <f>Tecnotree!A3</f>
        <v>0</v>
      </c>
      <c r="I21" s="1" t="str">
        <f>Tecnotree!C3</f>
        <v>10-12</v>
      </c>
      <c r="J21" s="1" t="str">
        <f>Tecnotree!D3</f>
        <v>1-9</v>
      </c>
      <c r="K21" t="str">
        <f>Tecnotree!E3</f>
        <v>10-12</v>
      </c>
      <c r="L21" t="str">
        <f>Tecnotree!F3</f>
        <v>12-month guidance</v>
      </c>
      <c r="M21" t="str">
        <f>Tecnotree!G3</f>
        <v>1-9A</v>
      </c>
      <c r="N21" t="str">
        <f>Tecnotree!I3</f>
        <v>1-12E</v>
      </c>
    </row>
    <row r="22" spans="1:15" x14ac:dyDescent="0.25">
      <c r="A22" t="str">
        <f>Orion!A4</f>
        <v>Revenue</v>
      </c>
      <c r="B22" s="6">
        <f>Orion!C4</f>
        <v>321</v>
      </c>
      <c r="C22" s="6">
        <f>Orion!D4</f>
        <v>1108</v>
      </c>
      <c r="D22" s="6">
        <f>Orion!E4</f>
        <v>434</v>
      </c>
      <c r="E22" s="6">
        <f>Orion!F4</f>
        <v>1542</v>
      </c>
      <c r="F22" s="3">
        <f>Orion!G4</f>
        <v>0.27502876869965487</v>
      </c>
      <c r="G22" s="3">
        <f>Orion!I4</f>
        <v>0.29579831932773115</v>
      </c>
      <c r="H22" t="str">
        <f>Tecnotree!A4</f>
        <v>Revenue</v>
      </c>
      <c r="I22" s="6">
        <f>Tecnotree!C4</f>
        <v>22.2</v>
      </c>
      <c r="J22" s="6">
        <f>Tecnotree!D4</f>
        <v>54</v>
      </c>
      <c r="K22" s="6">
        <f>Tecnotree!E4</f>
        <v>27.927999999999997</v>
      </c>
      <c r="L22" s="6">
        <f>Tecnotree!F4</f>
        <v>81.927999999999997</v>
      </c>
      <c r="M22" s="3">
        <f>Tecnotree!G4</f>
        <v>-3.9145907473309705E-2</v>
      </c>
      <c r="N22" s="3">
        <f>Tecnotree!I4</f>
        <v>4.4999999999999929E-2</v>
      </c>
    </row>
    <row r="23" spans="1:15" x14ac:dyDescent="0.25">
      <c r="A23" t="str">
        <f>Orion!A5</f>
        <v>EBIT</v>
      </c>
      <c r="B23" s="6">
        <f>Orion!C5</f>
        <v>93</v>
      </c>
      <c r="C23" s="6">
        <f>Orion!D5</f>
        <v>324</v>
      </c>
      <c r="D23" s="6">
        <f>Orion!E5</f>
        <v>93</v>
      </c>
      <c r="E23" s="7">
        <f>Orion!F5</f>
        <v>417</v>
      </c>
      <c r="F23" s="3">
        <f>Orion!G5</f>
        <v>0.6875</v>
      </c>
      <c r="G23" s="3">
        <f>Orion!I5</f>
        <v>0.46315789473684221</v>
      </c>
      <c r="H23" t="str">
        <f>Tecnotree!A5</f>
        <v>EBIT</v>
      </c>
      <c r="I23" s="6">
        <f>Tecnotree!C5</f>
        <v>7.8000000000000007</v>
      </c>
      <c r="J23" s="6">
        <f>Tecnotree!D5</f>
        <v>13</v>
      </c>
      <c r="K23" s="6">
        <f>Tecnotree!E5</f>
        <v>13.418000000000003</v>
      </c>
      <c r="L23" s="6">
        <f>Tecnotree!F5</f>
        <v>26.418000000000003</v>
      </c>
      <c r="M23" s="3">
        <f>Tecnotree!G5</f>
        <v>-0.1875</v>
      </c>
      <c r="N23" s="3">
        <f>Tecnotree!I5</f>
        <v>0.1100000000000001</v>
      </c>
    </row>
    <row r="24" spans="1:15" x14ac:dyDescent="0.25">
      <c r="A24" s="3" t="str">
        <f>Orion!A6</f>
        <v>EBIT %</v>
      </c>
      <c r="B24" s="2">
        <f>Orion!C6</f>
        <v>0.28971962616822428</v>
      </c>
      <c r="C24" s="2">
        <f>Orion!D6</f>
        <v>0.29241877256317689</v>
      </c>
      <c r="D24" s="2">
        <f>Orion!E6</f>
        <v>0.21428571428571427</v>
      </c>
      <c r="E24" s="3">
        <f>Orion!F6</f>
        <v>0.27042801556420232</v>
      </c>
      <c r="F24" s="3">
        <f>Orion!G6</f>
        <v>0</v>
      </c>
      <c r="G24" s="3">
        <f>Orion!I6</f>
        <v>0</v>
      </c>
      <c r="H24" s="3" t="str">
        <f>Tecnotree!A6</f>
        <v>EBIT %</v>
      </c>
      <c r="I24" s="2">
        <f>Tecnotree!C6</f>
        <v>0.35135135135135137</v>
      </c>
      <c r="J24" s="2">
        <f>Tecnotree!D6</f>
        <v>0.24074074074074073</v>
      </c>
      <c r="K24" s="2">
        <f>Tecnotree!E6</f>
        <v>0.48044972787167017</v>
      </c>
      <c r="L24" s="3">
        <f>Tecnotree!F6</f>
        <v>0.32245386192754616</v>
      </c>
      <c r="M24" s="3">
        <f>Tecnotree!G6</f>
        <v>0</v>
      </c>
      <c r="N24" s="3">
        <f>Tecnotree!I6</f>
        <v>0</v>
      </c>
      <c r="O24" s="3"/>
    </row>
    <row r="25" spans="1:15" x14ac:dyDescent="0.25">
      <c r="A25" t="e">
        <f>Orion!#REF!</f>
        <v>#REF!</v>
      </c>
      <c r="C25" s="1"/>
      <c r="D25" t="e">
        <f>Orion!#REF!</f>
        <v>#REF!</v>
      </c>
      <c r="E25" t="e">
        <f>Orion!#REF!</f>
        <v>#REF!</v>
      </c>
      <c r="F25" t="e">
        <f>Orion!#REF!</f>
        <v>#REF!</v>
      </c>
      <c r="G25" t="e">
        <f>Orion!#REF!</f>
        <v>#REF!</v>
      </c>
      <c r="M25" s="3"/>
      <c r="N25" s="3"/>
    </row>
    <row r="26" spans="1:15" s="4" customFormat="1" x14ac:dyDescent="0.25">
      <c r="A26" s="4">
        <f>Orion!A8</f>
        <v>0</v>
      </c>
      <c r="C26" s="8"/>
      <c r="F26" s="4">
        <f>Orion!G8</f>
        <v>0</v>
      </c>
      <c r="G26" s="4">
        <f>Orion!I8</f>
        <v>0</v>
      </c>
      <c r="H26" s="4">
        <f>Tecnotree!$A$14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44</vt:i4>
      </vt:variant>
    </vt:vector>
  </HeadingPairs>
  <TitlesOfParts>
    <vt:vector size="44" baseType="lpstr">
      <vt:lpstr>Menu</vt:lpstr>
      <vt:lpstr>Admicom</vt:lpstr>
      <vt:lpstr>Alphabet</vt:lpstr>
      <vt:lpstr>Amazon</vt:lpstr>
      <vt:lpstr>Apple</vt:lpstr>
      <vt:lpstr>AssaAbloy</vt:lpstr>
      <vt:lpstr>AtlasCopco</vt:lpstr>
      <vt:lpstr>Booking</vt:lpstr>
      <vt:lpstr>Capman</vt:lpstr>
      <vt:lpstr>Digia</vt:lpstr>
      <vt:lpstr>Epiroc</vt:lpstr>
      <vt:lpstr>Etteplan</vt:lpstr>
      <vt:lpstr>Fiskars</vt:lpstr>
      <vt:lpstr>Kamux</vt:lpstr>
      <vt:lpstr>Kemira</vt:lpstr>
      <vt:lpstr>Kempower</vt:lpstr>
      <vt:lpstr>Kesko</vt:lpstr>
      <vt:lpstr>Kone</vt:lpstr>
      <vt:lpstr>Konecranes</vt:lpstr>
      <vt:lpstr>Koskisen</vt:lpstr>
      <vt:lpstr>Lapwall</vt:lpstr>
      <vt:lpstr>Lassila</vt:lpstr>
      <vt:lpstr>Marimekko</vt:lpstr>
      <vt:lpstr>Meta</vt:lpstr>
      <vt:lpstr>Microsoft</vt:lpstr>
      <vt:lpstr>Nokia</vt:lpstr>
      <vt:lpstr>Nokian_Tyres</vt:lpstr>
      <vt:lpstr>Nvidia</vt:lpstr>
      <vt:lpstr>Orion</vt:lpstr>
      <vt:lpstr>Puuilo</vt:lpstr>
      <vt:lpstr>Qt (2)</vt:lpstr>
      <vt:lpstr>Qt</vt:lpstr>
      <vt:lpstr>Raute</vt:lpstr>
      <vt:lpstr>Revenio</vt:lpstr>
      <vt:lpstr>Scanfil</vt:lpstr>
      <vt:lpstr>Siili</vt:lpstr>
      <vt:lpstr>Talenom</vt:lpstr>
      <vt:lpstr>Tecnotree</vt:lpstr>
      <vt:lpstr>Titanium</vt:lpstr>
      <vt:lpstr>Tokmanni</vt:lpstr>
      <vt:lpstr>UPM</vt:lpstr>
      <vt:lpstr>Valmet</vt:lpstr>
      <vt:lpstr>Volvo</vt:lpstr>
      <vt:lpstr>Kaikki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Seppo Sinisaari</dc:creator>
  <cp:keywords/>
  <dc:description/>
  <cp:lastModifiedBy>Seppo Sinisaari</cp:lastModifiedBy>
  <cp:revision/>
  <cp:lastPrinted>2024-10-30T05:55:47Z</cp:lastPrinted>
  <dcterms:created xsi:type="dcterms:W3CDTF">2024-07-09T11:54:50Z</dcterms:created>
  <dcterms:modified xsi:type="dcterms:W3CDTF">2025-01-16T07:37:27Z</dcterms:modified>
  <cp:category/>
  <cp:contentStatus/>
</cp:coreProperties>
</file>