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KONE" sheetId="1" r:id="rId1"/>
  </sheets>
  <calcPr calcId="145621"/>
</workbook>
</file>

<file path=xl/calcChain.xml><?xml version="1.0" encoding="utf-8"?>
<calcChain xmlns="http://schemas.openxmlformats.org/spreadsheetml/2006/main">
  <c r="N42" i="1" l="1"/>
  <c r="E44" i="1" l="1"/>
  <c r="B45" i="1"/>
  <c r="B23" i="1" s="1"/>
  <c r="B26" i="1" s="1"/>
  <c r="E42" i="1"/>
  <c r="B40" i="1"/>
  <c r="C40" i="1" s="1"/>
  <c r="D40" i="1" s="1"/>
  <c r="E40" i="1" s="1"/>
  <c r="F40" i="1" s="1"/>
  <c r="G40" i="1" s="1"/>
  <c r="H40" i="1" s="1"/>
  <c r="C33" i="1"/>
  <c r="B33" i="1"/>
  <c r="B36" i="1" s="1"/>
  <c r="H32" i="1"/>
  <c r="C30" i="1"/>
  <c r="D30" i="1" s="1"/>
  <c r="E30" i="1" s="1"/>
  <c r="F30" i="1" s="1"/>
  <c r="G30" i="1" s="1"/>
  <c r="H30" i="1" s="1"/>
  <c r="B30" i="1"/>
  <c r="H22" i="1"/>
  <c r="B20" i="1"/>
  <c r="C20" i="1" s="1"/>
  <c r="D20" i="1" s="1"/>
  <c r="E20" i="1" s="1"/>
  <c r="F20" i="1" s="1"/>
  <c r="G20" i="1" s="1"/>
  <c r="H20" i="1" s="1"/>
  <c r="B13" i="1"/>
  <c r="E32" i="1" l="1"/>
  <c r="E22" i="1"/>
  <c r="C45" i="1"/>
  <c r="C23" i="1" s="1"/>
  <c r="D32" i="1"/>
  <c r="D33" i="1" s="1"/>
  <c r="F42" i="1"/>
  <c r="D43" i="1"/>
  <c r="F44" i="1"/>
  <c r="B46" i="1"/>
  <c r="B59" i="1"/>
  <c r="C59" i="1" s="1"/>
  <c r="G42" i="1"/>
  <c r="C44" i="1"/>
  <c r="G44" i="1"/>
  <c r="B55" i="1"/>
  <c r="C36" i="1"/>
  <c r="D44" i="1"/>
  <c r="C55" i="1"/>
  <c r="B58" i="1"/>
  <c r="B60" i="1"/>
  <c r="C60" i="1" s="1"/>
  <c r="D22" i="1"/>
  <c r="B47" i="1"/>
  <c r="B48" i="1" s="1"/>
  <c r="B51" i="1" s="1"/>
  <c r="D36" i="1" l="1"/>
  <c r="E33" i="1"/>
  <c r="C58" i="1"/>
  <c r="E43" i="1"/>
  <c r="B61" i="1"/>
  <c r="C61" i="1" s="1"/>
  <c r="D45" i="1"/>
  <c r="F32" i="1"/>
  <c r="F22" i="1"/>
  <c r="D23" i="1"/>
  <c r="C26" i="1"/>
  <c r="C46" i="1"/>
  <c r="C47" i="1"/>
  <c r="C48" i="1" s="1"/>
  <c r="C51" i="1" s="1"/>
  <c r="D55" i="1"/>
  <c r="G32" i="1"/>
  <c r="G22" i="1"/>
  <c r="B62" i="1" l="1"/>
  <c r="C62" i="1" s="1"/>
  <c r="F43" i="1"/>
  <c r="E45" i="1"/>
  <c r="E55" i="1"/>
  <c r="F33" i="1"/>
  <c r="E36" i="1"/>
  <c r="E23" i="1"/>
  <c r="D26" i="1"/>
  <c r="D46" i="1"/>
  <c r="D47" i="1"/>
  <c r="D48" i="1" s="1"/>
  <c r="D51" i="1" s="1"/>
  <c r="G33" i="1" l="1"/>
  <c r="F36" i="1"/>
  <c r="E26" i="1"/>
  <c r="F23" i="1"/>
  <c r="G43" i="1"/>
  <c r="F45" i="1"/>
  <c r="B63" i="1"/>
  <c r="C63" i="1" s="1"/>
  <c r="F55" i="1"/>
  <c r="E46" i="1"/>
  <c r="E47" i="1"/>
  <c r="E48" i="1" s="1"/>
  <c r="E51" i="1" s="1"/>
  <c r="G45" i="1" l="1"/>
  <c r="B64" i="1"/>
  <c r="G55" i="1"/>
  <c r="I55" i="1" s="1"/>
  <c r="G23" i="1"/>
  <c r="F26" i="1"/>
  <c r="H33" i="1"/>
  <c r="H34" i="1" s="1"/>
  <c r="H36" i="1" s="1"/>
  <c r="B37" i="1" s="1"/>
  <c r="B38" i="1" s="1"/>
  <c r="G36" i="1"/>
  <c r="F47" i="1"/>
  <c r="F48" i="1" s="1"/>
  <c r="F51" i="1" s="1"/>
  <c r="F46" i="1"/>
  <c r="G46" i="1" l="1"/>
  <c r="I46" i="1" s="1"/>
  <c r="G47" i="1"/>
  <c r="G48" i="1" s="1"/>
  <c r="C64" i="1"/>
  <c r="B65" i="1"/>
  <c r="C65" i="1" s="1"/>
  <c r="H23" i="1"/>
  <c r="H24" i="1" s="1"/>
  <c r="H26" i="1" s="1"/>
  <c r="B27" i="1" s="1"/>
  <c r="B28" i="1" s="1"/>
  <c r="G26" i="1"/>
  <c r="B66" i="1"/>
  <c r="C66" i="1" l="1"/>
  <c r="H49" i="1"/>
  <c r="H51" i="1" s="1"/>
  <c r="G51" i="1"/>
  <c r="B52" i="1" l="1"/>
  <c r="B53" i="1" s="1"/>
</calcChain>
</file>

<file path=xl/sharedStrings.xml><?xml version="1.0" encoding="utf-8"?>
<sst xmlns="http://schemas.openxmlformats.org/spreadsheetml/2006/main" count="57" uniqueCount="49">
  <si>
    <t>ARVONMÄÄRITYS</t>
  </si>
  <si>
    <t>KONE Corporation</t>
  </si>
  <si>
    <t xml:space="preserve">INPUT MUUTTUJAT </t>
  </si>
  <si>
    <t>Osinko per osake</t>
  </si>
  <si>
    <t>(Osinko vuodelta 2013, maksetaan siis vasta 2014)</t>
  </si>
  <si>
    <t>Oman pääoman tuottovaatimus</t>
  </si>
  <si>
    <t>Vapaa kassavirta per osake (FCF)=EPS</t>
  </si>
  <si>
    <t>Substanssiarvo per osake</t>
  </si>
  <si>
    <t>KURSSI</t>
  </si>
  <si>
    <t>Tulos per osake</t>
  </si>
  <si>
    <t>(EPS)</t>
  </si>
  <si>
    <t>pe 2014</t>
  </si>
  <si>
    <t>OSINKOPERUSTEINEN MALLI</t>
  </si>
  <si>
    <t>Vuotta laskentahetken jälkeen</t>
  </si>
  <si>
    <t>Osinkojen kasvu</t>
  </si>
  <si>
    <t>Osinko tilikaudelta, oletetaan että maksetaan 31.12.</t>
  </si>
  <si>
    <t>Osakkeen päätearvo</t>
  </si>
  <si>
    <t>Osinkojen nykyarvo</t>
  </si>
  <si>
    <t>Osakkeen arvo</t>
  </si>
  <si>
    <t>Ero kurssiin</t>
  </si>
  <si>
    <t>EPS-PERUSTEINEN MALLI</t>
  </si>
  <si>
    <t>Kassavirran kasvu</t>
  </si>
  <si>
    <t>Vapaa kassavirta</t>
  </si>
  <si>
    <t>Kassavirran nykyarvo</t>
  </si>
  <si>
    <t>LISÄARVOMALLI, EVA</t>
  </si>
  <si>
    <t>Ennustettu EPS kasvu</t>
  </si>
  <si>
    <t>Tulosennuste per osake</t>
  </si>
  <si>
    <t>Ennustettu osinkosuhde</t>
  </si>
  <si>
    <t>Osinkoennuste</t>
  </si>
  <si>
    <t>Substanssiarvo vuoden lopussa</t>
  </si>
  <si>
    <t>Vaadittu voitto</t>
  </si>
  <si>
    <t>Lisävoitto</t>
  </si>
  <si>
    <t>Loppuvuosien lisäarvo</t>
  </si>
  <si>
    <t>Lisäarvon nykyarvo</t>
  </si>
  <si>
    <t>Tavoitehinta</t>
  </si>
  <si>
    <t>Hinta</t>
  </si>
  <si>
    <t>Hinnanmuodostus</t>
  </si>
  <si>
    <t>Substanssi</t>
  </si>
  <si>
    <t>päätearvo</t>
  </si>
  <si>
    <t>tarkistus</t>
  </si>
  <si>
    <t>laskettu</t>
  </si>
  <si>
    <t>ROE</t>
  </si>
  <si>
    <t>EPS-kasvu</t>
  </si>
  <si>
    <t>sama tuottovaatinus kaikille, en korjaa betalla</t>
  </si>
  <si>
    <t>käytän EPSiä kassavirran korvikkeena</t>
  </si>
  <si>
    <t>jaettu osinko% (8 v keskiarvo)</t>
  </si>
  <si>
    <t>1-jaettu osinko% (8 v keskiarvo)</t>
  </si>
  <si>
    <t>pudotan kasvuvauhdin nollaan, ettei päätearvo ole liian merkitsevä</t>
  </si>
  <si>
    <t>jos PE on yli 20, niin käytetään kertoimena lukua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</si>
</sst>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\ %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Courier"/>
      <family val="3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right"/>
    </xf>
    <xf numFmtId="165" fontId="0" fillId="2" borderId="0" xfId="1" applyNumberFormat="1" applyFont="1" applyFill="1" applyAlignment="1">
      <alignment horizontal="right"/>
    </xf>
    <xf numFmtId="164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10" fontId="0" fillId="3" borderId="0" xfId="0" applyNumberFormat="1" applyFill="1"/>
    <xf numFmtId="2" fontId="0" fillId="0" borderId="0" xfId="0" applyNumberFormat="1"/>
    <xf numFmtId="2" fontId="2" fillId="0" borderId="0" xfId="0" applyNumberFormat="1" applyFont="1"/>
    <xf numFmtId="9" fontId="0" fillId="0" borderId="0" xfId="1" applyFont="1"/>
    <xf numFmtId="9" fontId="0" fillId="2" borderId="0" xfId="0" applyNumberFormat="1" applyFill="1"/>
    <xf numFmtId="0" fontId="4" fillId="0" borderId="0" xfId="0" applyFont="1" applyFill="1"/>
    <xf numFmtId="2" fontId="4" fillId="0" borderId="0" xfId="0" applyNumberFormat="1" applyFont="1" applyFill="1"/>
    <xf numFmtId="0" fontId="0" fillId="0" borderId="0" xfId="0" applyAlignment="1">
      <alignment horizontal="left"/>
    </xf>
    <xf numFmtId="9" fontId="0" fillId="0" borderId="0" xfId="0" applyNumberFormat="1"/>
    <xf numFmtId="0" fontId="0" fillId="4" borderId="0" xfId="0" applyFill="1"/>
    <xf numFmtId="0" fontId="1" fillId="4" borderId="0" xfId="0" applyFont="1" applyFill="1"/>
    <xf numFmtId="9" fontId="0" fillId="4" borderId="0" xfId="0" applyNumberFormat="1" applyFill="1"/>
    <xf numFmtId="9" fontId="4" fillId="2" borderId="0" xfId="1" applyFont="1" applyFill="1"/>
    <xf numFmtId="9" fontId="0" fillId="4" borderId="0" xfId="1" applyFont="1" applyFill="1"/>
    <xf numFmtId="9" fontId="0" fillId="3" borderId="0" xfId="0" applyNumberFormat="1" applyFill="1"/>
    <xf numFmtId="10" fontId="0" fillId="4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6"/>
  <sheetViews>
    <sheetView tabSelected="1" workbookViewId="0">
      <selection activeCell="B46" sqref="B46"/>
    </sheetView>
  </sheetViews>
  <sheetFormatPr defaultRowHeight="12.75" x14ac:dyDescent="0.2"/>
  <cols>
    <col min="1" max="1" width="46" bestFit="1" customWidth="1"/>
    <col min="2" max="2" width="11.1640625" bestFit="1" customWidth="1"/>
    <col min="4" max="4" width="9.83203125" bestFit="1" customWidth="1"/>
    <col min="8" max="8" width="11.1640625" bestFit="1" customWidth="1"/>
    <col min="13" max="13" width="30.5" bestFit="1" customWidth="1"/>
  </cols>
  <sheetData>
    <row r="1" spans="1:14" x14ac:dyDescent="0.2">
      <c r="A1" s="1" t="s">
        <v>0</v>
      </c>
      <c r="G1" s="2" t="s">
        <v>1</v>
      </c>
    </row>
    <row r="2" spans="1:14" x14ac:dyDescent="0.2">
      <c r="A2" s="1"/>
    </row>
    <row r="3" spans="1:14" x14ac:dyDescent="0.2">
      <c r="A3" s="1"/>
    </row>
    <row r="4" spans="1:14" x14ac:dyDescent="0.2">
      <c r="A4" s="1"/>
    </row>
    <row r="5" spans="1:14" x14ac:dyDescent="0.2">
      <c r="A5" s="1"/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 t="s">
        <v>2</v>
      </c>
      <c r="B10">
        <v>2013</v>
      </c>
    </row>
    <row r="11" spans="1:14" x14ac:dyDescent="0.2">
      <c r="A11" t="s">
        <v>3</v>
      </c>
      <c r="B11" s="3">
        <v>1</v>
      </c>
      <c r="C11" t="s">
        <v>4</v>
      </c>
    </row>
    <row r="12" spans="1:14" x14ac:dyDescent="0.2">
      <c r="A12" t="s">
        <v>5</v>
      </c>
      <c r="B12" s="4">
        <v>0.1</v>
      </c>
      <c r="J12" s="19" t="s">
        <v>43</v>
      </c>
      <c r="K12" s="18"/>
      <c r="L12" s="18"/>
      <c r="M12" s="18"/>
      <c r="N12" s="18"/>
    </row>
    <row r="13" spans="1:14" x14ac:dyDescent="0.2">
      <c r="A13" t="s">
        <v>6</v>
      </c>
      <c r="B13" s="3">
        <f>B15</f>
        <v>1.37</v>
      </c>
    </row>
    <row r="14" spans="1:14" x14ac:dyDescent="0.2">
      <c r="A14" t="s">
        <v>7</v>
      </c>
      <c r="B14" s="3">
        <v>3.3</v>
      </c>
      <c r="H14" t="s">
        <v>8</v>
      </c>
    </row>
    <row r="15" spans="1:14" x14ac:dyDescent="0.2">
      <c r="A15" t="s">
        <v>9</v>
      </c>
      <c r="B15" s="3">
        <v>1.37</v>
      </c>
      <c r="C15" t="s">
        <v>10</v>
      </c>
      <c r="H15" s="5">
        <v>37.729999999999997</v>
      </c>
    </row>
    <row r="16" spans="1:14" x14ac:dyDescent="0.2">
      <c r="H16" t="s">
        <v>11</v>
      </c>
    </row>
    <row r="17" spans="1:14" x14ac:dyDescent="0.2">
      <c r="A17" s="1"/>
      <c r="H17" s="6">
        <v>24.341935483870966</v>
      </c>
    </row>
    <row r="20" spans="1:14" x14ac:dyDescent="0.2">
      <c r="A20" s="1" t="s">
        <v>12</v>
      </c>
      <c r="B20">
        <f>$B$10+1</f>
        <v>2014</v>
      </c>
      <c r="C20">
        <f>B20+1</f>
        <v>2015</v>
      </c>
      <c r="D20">
        <f>C20+1</f>
        <v>2016</v>
      </c>
      <c r="E20">
        <f>D20+1</f>
        <v>2017</v>
      </c>
      <c r="F20">
        <f>E20+1</f>
        <v>2018</v>
      </c>
      <c r="G20">
        <f>F20+1</f>
        <v>2019</v>
      </c>
      <c r="H20" s="7" t="str">
        <f>G20+1&amp;"-"</f>
        <v>2020-</v>
      </c>
    </row>
    <row r="21" spans="1:14" x14ac:dyDescent="0.2">
      <c r="A21" s="8" t="s">
        <v>13</v>
      </c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</row>
    <row r="22" spans="1:14" x14ac:dyDescent="0.2">
      <c r="A22" t="s">
        <v>14</v>
      </c>
      <c r="B22" s="9"/>
      <c r="C22" s="9"/>
      <c r="D22" s="23">
        <f>D42</f>
        <v>0.17759686416402834</v>
      </c>
      <c r="E22" s="23">
        <f>E42</f>
        <v>0.17759686416402834</v>
      </c>
      <c r="F22" s="23">
        <f>F42</f>
        <v>0.17759686416402834</v>
      </c>
      <c r="G22" s="23">
        <f>G42</f>
        <v>0.17759686416402834</v>
      </c>
      <c r="H22" s="24">
        <f>H42</f>
        <v>0</v>
      </c>
      <c r="J22" s="19" t="s">
        <v>47</v>
      </c>
      <c r="K22" s="18"/>
      <c r="L22" s="18"/>
      <c r="M22" s="18"/>
      <c r="N22" s="18"/>
    </row>
    <row r="23" spans="1:14" x14ac:dyDescent="0.2">
      <c r="A23" t="s">
        <v>15</v>
      </c>
      <c r="B23" s="10">
        <f>B45</f>
        <v>0.9639303482587066</v>
      </c>
      <c r="C23" s="10">
        <f>C45</f>
        <v>1.0696517412935325</v>
      </c>
      <c r="D23" s="10">
        <f>C23*(1+D22)</f>
        <v>1.2596185362948564</v>
      </c>
      <c r="E23" s="10">
        <f>D23*(1+E22)</f>
        <v>1.4833228383837063</v>
      </c>
      <c r="F23" s="10">
        <f>E23*(1+F22)</f>
        <v>1.7467563230235383</v>
      </c>
      <c r="G23" s="10">
        <f>F23*(1+G22)</f>
        <v>2.0569747684512074</v>
      </c>
      <c r="H23" s="10">
        <f>G23*(1+H22)</f>
        <v>2.0569747684512074</v>
      </c>
    </row>
    <row r="24" spans="1:14" x14ac:dyDescent="0.2">
      <c r="A24" t="s">
        <v>16</v>
      </c>
      <c r="H24" s="10">
        <f>H23/($B$12-H22)</f>
        <v>20.569747684512073</v>
      </c>
    </row>
    <row r="26" spans="1:14" x14ac:dyDescent="0.2">
      <c r="A26" t="s">
        <v>17</v>
      </c>
      <c r="B26" s="10">
        <f t="shared" ref="B26:G26" si="0">B23/((1+$B$12)^B21)</f>
        <v>0.87630031659882412</v>
      </c>
      <c r="C26" s="10">
        <f t="shared" si="0"/>
        <v>0.88400970354837383</v>
      </c>
      <c r="D26" s="10">
        <f t="shared" si="0"/>
        <v>0.94637004980830652</v>
      </c>
      <c r="E26" s="10">
        <f t="shared" si="0"/>
        <v>1.0131294572663792</v>
      </c>
      <c r="F26" s="10">
        <f t="shared" si="0"/>
        <v>1.0845982471537201</v>
      </c>
      <c r="G26" s="10">
        <f t="shared" si="0"/>
        <v>1.1611086315691113</v>
      </c>
      <c r="H26" s="10">
        <f>H24/((1+B12)^H21)</f>
        <v>10.555533014264647</v>
      </c>
    </row>
    <row r="27" spans="1:14" x14ac:dyDescent="0.2">
      <c r="A27" s="1" t="s">
        <v>18</v>
      </c>
      <c r="B27" s="11">
        <f>SUM(B26:H26)+B14/10</f>
        <v>16.85104942020936</v>
      </c>
    </row>
    <row r="28" spans="1:14" x14ac:dyDescent="0.2">
      <c r="A28" t="s">
        <v>19</v>
      </c>
      <c r="B28" s="12">
        <f>B27/$H$15-1</f>
        <v>-0.55337796394886396</v>
      </c>
    </row>
    <row r="30" spans="1:14" x14ac:dyDescent="0.2">
      <c r="A30" s="1" t="s">
        <v>20</v>
      </c>
      <c r="B30">
        <f>$B$10+1</f>
        <v>2014</v>
      </c>
      <c r="C30">
        <f>B30+1</f>
        <v>2015</v>
      </c>
      <c r="D30">
        <f>C30+1</f>
        <v>2016</v>
      </c>
      <c r="E30">
        <f>D30+1</f>
        <v>2017</v>
      </c>
      <c r="F30">
        <f>E30+1</f>
        <v>2018</v>
      </c>
      <c r="G30">
        <f>F30+1</f>
        <v>2019</v>
      </c>
      <c r="H30" s="7" t="str">
        <f>G30+1&amp;"-"</f>
        <v>2020-</v>
      </c>
      <c r="J30" s="19" t="s">
        <v>44</v>
      </c>
      <c r="K30" s="18"/>
      <c r="L30" s="18"/>
      <c r="M30" s="18"/>
      <c r="N30" s="18"/>
    </row>
    <row r="31" spans="1:14" x14ac:dyDescent="0.2">
      <c r="A31" s="8" t="s">
        <v>13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</row>
    <row r="32" spans="1:14" x14ac:dyDescent="0.2">
      <c r="A32" t="s">
        <v>21</v>
      </c>
      <c r="B32" s="9"/>
      <c r="C32" s="9"/>
      <c r="D32" s="23">
        <f>D42</f>
        <v>0.17759686416402834</v>
      </c>
      <c r="E32" s="23">
        <f>E42</f>
        <v>0.17759686416402834</v>
      </c>
      <c r="F32" s="23">
        <f>F42</f>
        <v>0.17759686416402834</v>
      </c>
      <c r="G32" s="23">
        <f>G42</f>
        <v>0.17759686416402834</v>
      </c>
      <c r="H32" s="24">
        <f>H42</f>
        <v>0</v>
      </c>
      <c r="J32" s="19" t="s">
        <v>47</v>
      </c>
      <c r="K32" s="18"/>
      <c r="L32" s="18"/>
      <c r="M32" s="18"/>
      <c r="N32" s="18"/>
    </row>
    <row r="33" spans="1:14" x14ac:dyDescent="0.2">
      <c r="A33" t="s">
        <v>22</v>
      </c>
      <c r="B33" s="10">
        <f>B43</f>
        <v>1.55</v>
      </c>
      <c r="C33" s="10">
        <f>C43</f>
        <v>1.72</v>
      </c>
      <c r="D33" s="10">
        <f>C33*(1+D32)</f>
        <v>2.0254666063621287</v>
      </c>
      <c r="E33" s="10">
        <f>D33*(1+E32)</f>
        <v>2.3851831241209993</v>
      </c>
      <c r="F33" s="10">
        <f>E33*(1+F32)</f>
        <v>2.8087841674218494</v>
      </c>
      <c r="G33" s="10">
        <f>F33*(1+G32)</f>
        <v>3.3076154276695413</v>
      </c>
      <c r="H33" s="10">
        <f>G33*(1+H32)</f>
        <v>3.3076154276695413</v>
      </c>
    </row>
    <row r="34" spans="1:14" x14ac:dyDescent="0.2">
      <c r="A34" t="s">
        <v>16</v>
      </c>
      <c r="H34" s="10">
        <f>H33/($B$12-H32)</f>
        <v>33.076154276695412</v>
      </c>
    </row>
    <row r="36" spans="1:14" x14ac:dyDescent="0.2">
      <c r="A36" t="s">
        <v>23</v>
      </c>
      <c r="B36" s="10">
        <f t="shared" ref="B36:G36" si="1">B33/((1+$B$12)^B31)</f>
        <v>1.4090909090909089</v>
      </c>
      <c r="C36" s="10">
        <f t="shared" si="1"/>
        <v>1.4214876033057848</v>
      </c>
      <c r="D36" s="10">
        <f t="shared" si="1"/>
        <v>1.5217630400917566</v>
      </c>
      <c r="E36" s="10">
        <f t="shared" si="1"/>
        <v>1.6291121672843376</v>
      </c>
      <c r="F36" s="10">
        <f t="shared" si="1"/>
        <v>1.7440339814231818</v>
      </c>
      <c r="G36" s="10">
        <f t="shared" si="1"/>
        <v>1.8670626795631309</v>
      </c>
      <c r="H36" s="10">
        <f>H34/((1+B12)^H31)</f>
        <v>16.973297086937549</v>
      </c>
    </row>
    <row r="37" spans="1:14" x14ac:dyDescent="0.2">
      <c r="A37" s="1" t="s">
        <v>18</v>
      </c>
      <c r="B37" s="11">
        <f>SUM(B36:H36)+B14/10</f>
        <v>26.895847467696647</v>
      </c>
    </row>
    <row r="38" spans="1:14" x14ac:dyDescent="0.2">
      <c r="A38" t="s">
        <v>19</v>
      </c>
      <c r="B38" s="12">
        <f>B37/$H$15-1</f>
        <v>-0.28714955028633316</v>
      </c>
    </row>
    <row r="40" spans="1:14" x14ac:dyDescent="0.2">
      <c r="A40" s="1" t="s">
        <v>24</v>
      </c>
      <c r="B40">
        <f>$B$10+1</f>
        <v>2014</v>
      </c>
      <c r="C40">
        <f>B40+1</f>
        <v>2015</v>
      </c>
      <c r="D40">
        <f>C40+1</f>
        <v>2016</v>
      </c>
      <c r="E40">
        <f>D40+1</f>
        <v>2017</v>
      </c>
      <c r="F40">
        <f>E40+1</f>
        <v>2018</v>
      </c>
      <c r="G40">
        <f>F40+1</f>
        <v>2019</v>
      </c>
      <c r="H40" s="7" t="str">
        <f>G40+1&amp;"-"</f>
        <v>2020-</v>
      </c>
    </row>
    <row r="41" spans="1:14" x14ac:dyDescent="0.2">
      <c r="A41" s="8" t="s">
        <v>13</v>
      </c>
      <c r="B41">
        <v>1</v>
      </c>
      <c r="C41">
        <v>2</v>
      </c>
      <c r="D41">
        <v>3</v>
      </c>
      <c r="E41">
        <v>4</v>
      </c>
      <c r="F41">
        <v>5</v>
      </c>
      <c r="G41">
        <v>6</v>
      </c>
      <c r="H41">
        <v>7</v>
      </c>
      <c r="J41" s="18"/>
      <c r="K41" s="18"/>
      <c r="L41" s="19" t="s">
        <v>41</v>
      </c>
      <c r="M41" s="19" t="s">
        <v>46</v>
      </c>
      <c r="N41" s="19" t="s">
        <v>42</v>
      </c>
    </row>
    <row r="42" spans="1:14" x14ac:dyDescent="0.2">
      <c r="A42" t="s">
        <v>25</v>
      </c>
      <c r="B42" s="9"/>
      <c r="C42" s="13">
        <v>0.17759686416402834</v>
      </c>
      <c r="D42" s="13">
        <v>0.17759686416402834</v>
      </c>
      <c r="E42" s="13">
        <f>$D$42</f>
        <v>0.17759686416402834</v>
      </c>
      <c r="F42" s="13">
        <f>$D$42</f>
        <v>0.17759686416402834</v>
      </c>
      <c r="G42" s="13">
        <f>$D$42</f>
        <v>0.17759686416402834</v>
      </c>
      <c r="H42" s="20">
        <v>0</v>
      </c>
      <c r="J42" s="18"/>
      <c r="K42" s="19" t="s">
        <v>40</v>
      </c>
      <c r="L42" s="20">
        <v>0.47</v>
      </c>
      <c r="M42" s="20">
        <v>0.38</v>
      </c>
      <c r="N42" s="20">
        <f>L42*M42</f>
        <v>0.17859999999999998</v>
      </c>
    </row>
    <row r="43" spans="1:14" x14ac:dyDescent="0.2">
      <c r="A43" t="s">
        <v>26</v>
      </c>
      <c r="B43" s="10">
        <v>1.55</v>
      </c>
      <c r="C43" s="10">
        <v>1.72</v>
      </c>
      <c r="D43" s="10">
        <f>C43*(1+D42)</f>
        <v>2.0254666063621287</v>
      </c>
      <c r="E43" s="10">
        <f>D43*(1+E42)</f>
        <v>2.3851831241209993</v>
      </c>
      <c r="F43" s="10">
        <f>E43*(1+F42)</f>
        <v>2.8087841674218494</v>
      </c>
      <c r="G43" s="10">
        <f>F43*(1+G42)</f>
        <v>3.3076154276695413</v>
      </c>
      <c r="H43" s="10"/>
    </row>
    <row r="44" spans="1:14" x14ac:dyDescent="0.2">
      <c r="A44" t="s">
        <v>27</v>
      </c>
      <c r="B44" s="21">
        <v>0.62189054726368165</v>
      </c>
      <c r="C44" s="21">
        <f>$B$44</f>
        <v>0.62189054726368165</v>
      </c>
      <c r="D44" s="21">
        <f>$B$44</f>
        <v>0.62189054726368165</v>
      </c>
      <c r="E44" s="21">
        <f>$B$44</f>
        <v>0.62189054726368165</v>
      </c>
      <c r="F44" s="21">
        <f>$B$44</f>
        <v>0.62189054726368165</v>
      </c>
      <c r="G44" s="21">
        <f>$B$44</f>
        <v>0.62189054726368165</v>
      </c>
      <c r="H44" s="14"/>
      <c r="M44" s="19" t="s">
        <v>45</v>
      </c>
    </row>
    <row r="45" spans="1:14" x14ac:dyDescent="0.2">
      <c r="A45" t="s">
        <v>28</v>
      </c>
      <c r="B45" s="15">
        <f t="shared" ref="B45:G45" si="2">IF(B43&gt;0,B43*B44,0)</f>
        <v>0.9639303482587066</v>
      </c>
      <c r="C45" s="15">
        <f t="shared" si="2"/>
        <v>1.0696517412935325</v>
      </c>
      <c r="D45" s="15">
        <f t="shared" si="2"/>
        <v>1.2596185362948562</v>
      </c>
      <c r="E45" s="15">
        <f t="shared" si="2"/>
        <v>1.4833228383837063</v>
      </c>
      <c r="F45" s="15">
        <f t="shared" si="2"/>
        <v>1.7467563230235383</v>
      </c>
      <c r="G45" s="15">
        <f t="shared" si="2"/>
        <v>2.0569747684512074</v>
      </c>
      <c r="H45" s="14"/>
      <c r="M45" s="22">
        <v>0.62</v>
      </c>
    </row>
    <row r="46" spans="1:14" x14ac:dyDescent="0.2">
      <c r="A46" t="s">
        <v>29</v>
      </c>
      <c r="B46" s="10">
        <f>B14+B43*(1-B44)</f>
        <v>3.8860696517412934</v>
      </c>
      <c r="C46" s="10">
        <f>B46+C43*(1-C44)</f>
        <v>4.5364179104477609</v>
      </c>
      <c r="D46" s="10">
        <f>C46+D43*(1-D44)</f>
        <v>5.302265980515033</v>
      </c>
      <c r="E46" s="10">
        <f>D46+E43*(1-E44)</f>
        <v>6.2041262662523264</v>
      </c>
      <c r="F46" s="10">
        <f>E46+F43*(1-F44)</f>
        <v>7.2661541106506373</v>
      </c>
      <c r="G46" s="10">
        <f>F46+G43*(1-G44)</f>
        <v>8.5167947698689712</v>
      </c>
      <c r="H46" s="10"/>
      <c r="I46" s="5">
        <f>AVERAGE(B46:G46)</f>
        <v>5.9519714482460033</v>
      </c>
    </row>
    <row r="47" spans="1:14" x14ac:dyDescent="0.2">
      <c r="A47" t="s">
        <v>30</v>
      </c>
      <c r="B47" s="10">
        <f>B14*B12</f>
        <v>0.33</v>
      </c>
      <c r="C47" s="10">
        <f>B46*$B$12</f>
        <v>0.38860696517412935</v>
      </c>
      <c r="D47" s="10">
        <f>C46*$B$12</f>
        <v>0.45364179104477609</v>
      </c>
      <c r="E47" s="10">
        <f>D46*$B$12</f>
        <v>0.5302265980515033</v>
      </c>
      <c r="F47" s="10">
        <f>E46*$B$12</f>
        <v>0.62041262662523267</v>
      </c>
      <c r="G47" s="10">
        <f>F46*$B$12</f>
        <v>0.72661541106506378</v>
      </c>
      <c r="H47" s="10"/>
    </row>
    <row r="48" spans="1:14" x14ac:dyDescent="0.2">
      <c r="A48" t="s">
        <v>31</v>
      </c>
      <c r="B48" s="10">
        <f t="shared" ref="B48:G48" si="3">B43-B47</f>
        <v>1.22</v>
      </c>
      <c r="C48" s="10">
        <f t="shared" si="3"/>
        <v>1.3313930348258707</v>
      </c>
      <c r="D48" s="10">
        <f t="shared" si="3"/>
        <v>1.5718248153173526</v>
      </c>
      <c r="E48" s="10">
        <f t="shared" si="3"/>
        <v>1.854956526069496</v>
      </c>
      <c r="F48" s="10">
        <f t="shared" si="3"/>
        <v>2.1883715407966169</v>
      </c>
      <c r="G48" s="10">
        <f t="shared" si="3"/>
        <v>2.5810000166044773</v>
      </c>
      <c r="H48" s="10"/>
    </row>
    <row r="49" spans="1:14" x14ac:dyDescent="0.2">
      <c r="A49" t="s">
        <v>32</v>
      </c>
      <c r="B49" s="10"/>
      <c r="C49" s="10"/>
      <c r="D49" s="10"/>
      <c r="E49" s="10"/>
      <c r="F49" s="10"/>
      <c r="G49" s="10"/>
      <c r="H49" s="10">
        <f>(G48*(1+H42))/(B12-H42)</f>
        <v>25.810000166044773</v>
      </c>
    </row>
    <row r="50" spans="1:14" x14ac:dyDescent="0.2">
      <c r="B50" s="10"/>
      <c r="C50" s="10"/>
      <c r="D50" s="10"/>
      <c r="E50" s="10"/>
      <c r="F50" s="10"/>
      <c r="G50" s="10"/>
      <c r="H50" s="10"/>
    </row>
    <row r="51" spans="1:14" x14ac:dyDescent="0.2">
      <c r="A51" t="s">
        <v>33</v>
      </c>
      <c r="B51" s="10">
        <f>B48/(1+$B$12)</f>
        <v>1.1090909090909089</v>
      </c>
      <c r="C51" s="10">
        <f>C48/(1+$B$12)^C41</f>
        <v>1.1003248221701409</v>
      </c>
      <c r="D51" s="10">
        <f>D48/(1+$B$12)^D41</f>
        <v>1.1809352481723157</v>
      </c>
      <c r="E51" s="10">
        <f>E48/(1+$B$12)^E41</f>
        <v>1.266960266422714</v>
      </c>
      <c r="F51" s="10">
        <f>F48/(1+$B$12)^F41</f>
        <v>1.3588065524564368</v>
      </c>
      <c r="G51" s="10">
        <f>G48/(1+$B$12)^G41</f>
        <v>1.4569072228415934</v>
      </c>
      <c r="H51" s="10">
        <f>H49/(1+$B$12)^H41</f>
        <v>13.244611116741757</v>
      </c>
    </row>
    <row r="52" spans="1:14" x14ac:dyDescent="0.2">
      <c r="A52" s="1" t="s">
        <v>18</v>
      </c>
      <c r="B52" s="11">
        <f>SUM(B51:H51)+B14/10</f>
        <v>21.047636137895864</v>
      </c>
    </row>
    <row r="53" spans="1:14" x14ac:dyDescent="0.2">
      <c r="A53" t="s">
        <v>19</v>
      </c>
      <c r="B53" s="12">
        <f>B52/$H$15-1</f>
        <v>-0.44215117577800511</v>
      </c>
    </row>
    <row r="54" spans="1:14" x14ac:dyDescent="0.2">
      <c r="I54" t="s">
        <v>34</v>
      </c>
    </row>
    <row r="55" spans="1:14" x14ac:dyDescent="0.2">
      <c r="A55" t="s">
        <v>35</v>
      </c>
      <c r="B55" s="5">
        <f t="shared" ref="B55:G55" si="4">IF($H$17&lt;=20,B43*$H$17,B43*20)</f>
        <v>31</v>
      </c>
      <c r="C55" s="5">
        <f t="shared" si="4"/>
        <v>34.4</v>
      </c>
      <c r="D55" s="5">
        <f t="shared" si="4"/>
        <v>40.509332127242573</v>
      </c>
      <c r="E55" s="5">
        <f t="shared" si="4"/>
        <v>47.703662482419986</v>
      </c>
      <c r="F55" s="5">
        <f t="shared" si="4"/>
        <v>56.175683348436991</v>
      </c>
      <c r="G55" s="5">
        <f t="shared" si="4"/>
        <v>66.152308553390824</v>
      </c>
      <c r="I55" s="5">
        <f>AVERAGE(B55:G55)</f>
        <v>45.990164418581735</v>
      </c>
      <c r="K55" s="19" t="s">
        <v>48</v>
      </c>
      <c r="L55" s="18"/>
      <c r="M55" s="18"/>
      <c r="N55" s="18"/>
    </row>
    <row r="56" spans="1:14" x14ac:dyDescent="0.2">
      <c r="D56" s="5"/>
      <c r="E56" s="5"/>
      <c r="F56" s="5"/>
      <c r="G56" s="5"/>
      <c r="I56" s="5"/>
      <c r="J56" s="12"/>
    </row>
    <row r="57" spans="1:14" x14ac:dyDescent="0.2">
      <c r="A57" s="1" t="s">
        <v>36</v>
      </c>
    </row>
    <row r="58" spans="1:14" x14ac:dyDescent="0.2">
      <c r="A58" t="s">
        <v>37</v>
      </c>
      <c r="B58" s="5">
        <f>B14</f>
        <v>3.3</v>
      </c>
      <c r="C58" s="12">
        <f>B58/$H$15</f>
        <v>8.7463556851311949E-2</v>
      </c>
    </row>
    <row r="59" spans="1:14" x14ac:dyDescent="0.2">
      <c r="A59" s="16">
        <v>1</v>
      </c>
      <c r="B59" s="5">
        <f>B43</f>
        <v>1.55</v>
      </c>
      <c r="C59" s="12">
        <f t="shared" ref="C59:C65" si="5">B59/$H$15</f>
        <v>4.1081367611979863E-2</v>
      </c>
    </row>
    <row r="60" spans="1:14" x14ac:dyDescent="0.2">
      <c r="A60" s="16">
        <v>2</v>
      </c>
      <c r="B60" s="5">
        <f>C43</f>
        <v>1.72</v>
      </c>
      <c r="C60" s="12">
        <f t="shared" si="5"/>
        <v>4.5587065995229263E-2</v>
      </c>
    </row>
    <row r="61" spans="1:14" x14ac:dyDescent="0.2">
      <c r="A61" s="16">
        <v>3</v>
      </c>
      <c r="B61" s="5">
        <f>D43</f>
        <v>2.0254666063621287</v>
      </c>
      <c r="C61" s="12">
        <f t="shared" si="5"/>
        <v>5.3683185962420589E-2</v>
      </c>
    </row>
    <row r="62" spans="1:14" x14ac:dyDescent="0.2">
      <c r="A62" s="16">
        <v>4</v>
      </c>
      <c r="B62" s="5">
        <f>E43</f>
        <v>2.3851831241209993</v>
      </c>
      <c r="C62" s="12">
        <f t="shared" si="5"/>
        <v>6.3217151447680878E-2</v>
      </c>
    </row>
    <row r="63" spans="1:14" x14ac:dyDescent="0.2">
      <c r="A63" s="16">
        <v>5</v>
      </c>
      <c r="B63" s="5">
        <f>F43</f>
        <v>2.8087841674218494</v>
      </c>
      <c r="C63" s="12">
        <f t="shared" si="5"/>
        <v>7.4444319306171472E-2</v>
      </c>
    </row>
    <row r="64" spans="1:14" x14ac:dyDescent="0.2">
      <c r="A64" s="16">
        <v>6</v>
      </c>
      <c r="B64" s="5">
        <f>G43</f>
        <v>3.3076154276695413</v>
      </c>
      <c r="C64" s="12">
        <f t="shared" si="5"/>
        <v>8.7665396969773171E-2</v>
      </c>
    </row>
    <row r="65" spans="1:3" x14ac:dyDescent="0.2">
      <c r="A65" t="s">
        <v>38</v>
      </c>
      <c r="B65" s="5">
        <f>H15-SUM(B58:B64)</f>
        <v>20.632950674425476</v>
      </c>
      <c r="C65" s="12">
        <f t="shared" si="5"/>
        <v>0.54685795585543273</v>
      </c>
    </row>
    <row r="66" spans="1:3" x14ac:dyDescent="0.2">
      <c r="A66" t="s">
        <v>39</v>
      </c>
      <c r="B66" s="5">
        <f>SUM(B58:B65)</f>
        <v>37.729999999999997</v>
      </c>
      <c r="C66" s="17">
        <f>SUM(C58:C65)</f>
        <v>0.99999999999999989</v>
      </c>
    </row>
  </sheetData>
  <pageMargins left="0.35433070866141736" right="0.35433070866141736" top="0.59055118110236227" bottom="0.59055118110236227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 Sinisaari</dc:creator>
  <cp:lastModifiedBy>Seppo Sinisaari</cp:lastModifiedBy>
  <dcterms:created xsi:type="dcterms:W3CDTF">2015-01-07T07:50:40Z</dcterms:created>
  <dcterms:modified xsi:type="dcterms:W3CDTF">2015-01-07T08:16:40Z</dcterms:modified>
</cp:coreProperties>
</file>